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drawings/vmlDrawing1.x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Bordro Hesaplama" r:id="rId1" sheetId="1"/>
    <sheet name="Detaylı SGK" r:id="rId2" sheetId="2"/>
  </sheets>
</workbook>
</file>

<file path=xl/comments1.xml><?xml version="1.0" encoding="utf-8"?>
<comments xmlns="http://schemas.openxmlformats.org/spreadsheetml/2006/main">
  <authors>
    <author/>
  </authors>
  <commentList>
    <comment ref="E4" authorId="0">
      <text>
        <t xml:space="preserve">2025 Aralık ayından devirler: Önceki yılın Detaylı Bordro hesabındaki TOPLAM satırının DM1 ve DM2 hücrelerinde hesaplanan iki değeri, mevcut yılın Ocak ayı satırındaki DM1 ve DM2 hücrelerine (yeşil renk) girmeyi unutmayın!
</t>
      </text>
    </comment>
    <comment ref="E16" authorId="0">
      <text>
        <t xml:space="preserve">2027 yılı ocak ayına devredilecekler: Mevcut yıla ait TOPLAM satırının DM1 ve DM2 hücrelerinde hesaplanan değerlerin, gelecek yılın Ocak satırındaki DM1 ve DM2 hücrelerine devredilmesi gerekmektedir.
</t>
      </text>
    </comment>
  </commentList>
</comments>
</file>

<file path=xl/sharedStrings.xml><?xml version="1.0" encoding="utf-8"?>
<sst xmlns="http://schemas.openxmlformats.org/spreadsheetml/2006/main" count="83" uniqueCount="83">
  <si>
    <t>Uy. 1.37</t>
  </si>
  <si>
    <t>BM</t>
  </si>
  <si>
    <t>EK</t>
  </si>
  <si>
    <t>GVİ</t>
  </si>
  <si>
    <t>SM</t>
  </si>
  <si>
    <t>SK</t>
  </si>
  <si>
    <t>İS</t>
  </si>
  <si>
    <t>BES</t>
  </si>
  <si>
    <t>KES</t>
  </si>
  <si>
    <t>VM</t>
  </si>
  <si>
    <t>KVM</t>
  </si>
  <si>
    <t>GV</t>
  </si>
  <si>
    <t>VO</t>
  </si>
  <si>
    <t>DV</t>
  </si>
  <si>
    <t>AİT OLDUĞU AY</t>
  </si>
  <si>
    <t>BRÜT ÜCRET</t>
  </si>
  <si>
    <t>İKRAMİYE, PRİM, FAZLA MESAİ, VB.</t>
  </si>
  <si>
    <t>GELİR VERGİSİ İNDİRİMİ</t>
  </si>
  <si>
    <t>SGK MATRAHI</t>
  </si>
  <si>
    <t>SGK KESİNTİSİ</t>
  </si>
  <si>
    <t>İŞSİZLİK SİGORT.</t>
  </si>
  <si>
    <t>BİR.EM. SİG. (BES) KES.</t>
  </si>
  <si>
    <t>DİĞER KESİN- TİLER</t>
  </si>
  <si>
    <t>VERGİ MATRAHI</t>
  </si>
  <si>
    <t>KÜMÜLE VERGİ MATRAHI</t>
  </si>
  <si>
    <t>GELİR VERGİSİ</t>
  </si>
  <si>
    <t>ORT. GELİR VERGİSİ ORANI</t>
  </si>
  <si>
    <t>DAMGA VERGİSİ</t>
  </si>
  <si>
    <t>NET
ÜCRET</t>
  </si>
  <si>
    <t>SADECE 2026 YILI İÇİN GEÇERLİDİR</t>
  </si>
  <si>
    <t>SM*%14</t>
  </si>
  <si>
    <t>SM*%1</t>
  </si>
  <si>
    <t>SM*%3</t>
  </si>
  <si>
    <t>BM+EK
-SK-İS</t>
  </si>
  <si>
    <t>GV/VM</t>
  </si>
  <si>
    <t>(BM+EK) *%0.759 -DVİ</t>
  </si>
  <si>
    <t>BM+EK -SK -İS -BES-KES -GV-DV</t>
  </si>
  <si>
    <t>Ocak 2026</t>
  </si>
  <si>
    <t>Şubat 2026</t>
  </si>
  <si>
    <t>Mart 2026</t>
  </si>
  <si>
    <t>Nisan 2026</t>
  </si>
  <si>
    <t>Mayıs 2026</t>
  </si>
  <si>
    <t>Haziran 2026</t>
  </si>
  <si>
    <t>Temmuz 2026</t>
  </si>
  <si>
    <t>Ağustos 2026</t>
  </si>
  <si>
    <t>Eylül 2026</t>
  </si>
  <si>
    <t>Ekim 2026</t>
  </si>
  <si>
    <t>Kasım 2026</t>
  </si>
  <si>
    <t>Aralık 2026</t>
  </si>
  <si>
    <t>TOPLAM:</t>
  </si>
  <si>
    <t>ORT:</t>
  </si>
  <si>
    <t>YILLIK TOPLAM</t>
  </si>
  <si>
    <t>AYLIK ORTALAMA</t>
  </si>
  <si>
    <t>Vergi Dilimleri:</t>
  </si>
  <si>
    <t>Asgari Ücret:</t>
  </si>
  <si>
    <t>SGK Aylık Tavanları:</t>
  </si>
  <si>
    <t>BRÜT</t>
  </si>
  <si>
    <t>%15 &lt;</t>
  </si>
  <si>
    <t>Oca.-Haz.</t>
  </si>
  <si>
    <t>Tem.-Ara.</t>
  </si>
  <si>
    <t>NET</t>
  </si>
  <si>
    <t>%20 &lt;</t>
  </si>
  <si>
    <t>NET/BRÜT</t>
  </si>
  <si>
    <t>%27 &lt;</t>
  </si>
  <si>
    <t>%35 &lt;</t>
  </si>
  <si>
    <t>DVİ</t>
  </si>
  <si>
    <t>%40 &lt;</t>
  </si>
  <si>
    <t>∞</t>
  </si>
  <si>
    <t>Yıllık Ücret Bordrosu Hesaplama Tablosu, Uyarlama 1.37.260101 © 2008-2026, Fedon Kadifeli.</t>
  </si>
  <si>
    <r>
      <t>https://www.kadifeli.com/fedon/bordro.php</t>
    </r>
  </si>
  <si>
    <t>Uy. 2.13</t>
  </si>
  <si>
    <t>DM1</t>
  </si>
  <si>
    <t>DM2</t>
  </si>
  <si>
    <t>SG</t>
  </si>
  <si>
    <t>SA</t>
  </si>
  <si>
    <t>GEÇEN AYDAN DEVİR</t>
  </si>
  <si>
    <t>ÖNCEKİ AYDAN DEVİR</t>
  </si>
  <si>
    <t>SGK GÜN SAY.</t>
  </si>
  <si>
    <t>SGK AYLIK KAZANÇ ÜST SINIRI</t>
  </si>
  <si>
    <t>NET ÜCRET</t>
  </si>
  <si>
    <t>BM+EK -SK-İS</t>
  </si>
  <si>
    <t>SGK Günlük Kazanç Üst Sınırı:</t>
  </si>
  <si>
    <t>Yıllık Ücret Bordrosu Hesaplama Tablosu, Uyarlama 2.13.260101 © 2008-2026, Fedon Kadifeli.</t>
  </si>
</sst>
</file>

<file path=xl/styles.xml><?xml version="1.0" encoding="utf-8"?>
<styleSheet xmlns="http://schemas.openxmlformats.org/spreadsheetml/2006/main">
  <numFmts count="2">
    <numFmt formatCode="%[$-en-TR]#0.00" numFmtId="164"/>
    <numFmt formatCode="mmm. yyyy" numFmtId="165"/>
  </numFmts>
  <fonts count="18">
    <font>
      <sz val="10"/>
      <color rgb="FF000000"/>
      <name val="Arial"/>
    </font>
    <font>
      <sz val="8"/>
      <name val="Verdana"/>
    </font>
    <font>
      <sz val="11"/>
      <name val="Arial"/>
    </font>
    <font>
      <sz val="8"/>
      <name val="Verdana"/>
    </font>
    <font>
      <b/>
      <sz val="8"/>
      <name val="Verdana"/>
    </font>
    <font>
      <b/>
      <i/>
      <sz val="8"/>
      <color rgb="FFC00000"/>
      <name val="Verdana"/>
    </font>
    <font>
      <sz val="8"/>
      <color rgb="FF980000"/>
      <name val="Verdana"/>
    </font>
    <font>
      <sz val="8"/>
      <color rgb="FFC00000"/>
      <name val="Verdana"/>
    </font>
    <font>
      <sz val="8"/>
      <color rgb="FFFFC000"/>
      <name val="Verdana"/>
    </font>
    <font>
      <sz val="8"/>
      <color rgb="FF008000"/>
      <name val="Verdana"/>
    </font>
    <font>
      <sz val="8"/>
      <name val="Verdana"/>
    </font>
    <font>
      <sz val="8"/>
      <color rgb="FFC00000"/>
      <name val="Verdana"/>
    </font>
    <font>
      <sz val="8"/>
      <color rgb="FFC00000"/>
      <name val="Verdana"/>
    </font>
    <font>
      <sz val="8"/>
      <name val="Verdana"/>
    </font>
    <font>
      <i/>
      <sz val="8"/>
      <name val="Verdana"/>
    </font>
    <font>
      <sz val="8"/>
      <color rgb="FF0563C1"/>
      <name val="Verdana"/>
    </font>
    <font>
      <sz val="10"/>
      <name val="Arial"/>
    </font>
    <font>
      <sz val="8"/>
      <color rgb="FF0000FF"/>
      <name val="Verdana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borderId="0" fillId="0" fontId="0" numFmtId="0" xfId="0">
      <alignment vertical="bottom"/>
    </xf>
  </cellStyleXfs>
  <cellXfs count="155">
    <xf borderId="0" fillId="0" fontId="0" numFmtId="0" xfId="0">
      <alignment vertical="bottom"/>
    </xf>
    <xf borderId="0" fillId="0" fontId="1" numFmtId="0" xfId="0">
      <alignment vertical="bottom"/>
    </xf>
    <xf borderId="0" fillId="0" fontId="2" numFmtId="0" xfId="0">
      <alignment vertical="bottom"/>
    </xf>
    <xf borderId="1" fillId="0" fontId="3" numFmtId="0" xfId="0">
      <alignment horizontal="center" vertical="center" wrapText="1" textRotation="0"/>
    </xf>
    <xf borderId="1" fillId="0" fontId="4" numFmtId="0" xfId="0">
      <alignment horizontal="center" vertical="center" wrapText="1" textRotation="0"/>
    </xf>
    <xf borderId="2" fillId="0" fontId="4" numFmtId="0" xfId="0">
      <alignment horizontal="center" vertical="center" wrapText="1" textRotation="0"/>
    </xf>
    <xf borderId="3" fillId="0" fontId="4" numFmtId="0" xfId="0">
      <alignment horizontal="center" vertical="center" wrapText="1" textRotation="0"/>
    </xf>
    <xf borderId="4" fillId="0" fontId="4" numFmtId="0" xfId="0">
      <alignment horizontal="center" vertical="center" wrapText="1" textRotation="0"/>
    </xf>
    <xf borderId="2" fillId="0" fontId="5" numFmtId="0" xfId="0">
      <alignment horizontal="center" vertical="center" wrapText="1" textRotation="0"/>
    </xf>
    <xf borderId="3" fillId="0" fontId="6" numFmtId="0" xfId="0">
      <alignment horizontal="center" vertical="center" wrapText="1" textRotation="0"/>
    </xf>
    <xf borderId="3" fillId="0" fontId="7" numFmtId="0" xfId="0">
      <alignment horizontal="center" vertical="center" wrapText="1" textRotation="0"/>
    </xf>
    <xf borderId="3" fillId="0" fontId="8" numFmtId="0" xfId="0">
      <alignment horizontal="center" vertical="center" wrapText="1" textRotation="0"/>
    </xf>
    <xf borderId="3" fillId="0" fontId="9" numFmtId="0" xfId="0">
      <alignment horizontal="center" vertical="center" wrapText="1" textRotation="0"/>
    </xf>
    <xf borderId="4" fillId="0" fontId="7" numFmtId="0" xfId="0">
      <alignment horizontal="center" vertical="center" wrapText="1" textRotation="0"/>
    </xf>
    <xf borderId="5" fillId="0" fontId="10" numFmtId="0" xfId="0">
      <alignment horizontal="center" vertical="top" wrapText="1" textRotation="0"/>
    </xf>
    <xf borderId="6" fillId="0" fontId="9" numFmtId="4" xfId="0">
      <alignment vertical="top" wrapText="1" textRotation="0" indent="0"/>
    </xf>
    <xf borderId="7" fillId="0" fontId="7" numFmtId="4" xfId="0">
      <alignment vertical="top" wrapText="1" textRotation="0" indent="0"/>
    </xf>
    <xf borderId="6" fillId="0" fontId="7" numFmtId="4" xfId="0">
      <alignment vertical="top" wrapText="1" textRotation="0" indent="0"/>
    </xf>
    <xf borderId="6" fillId="0" fontId="8" numFmtId="4" xfId="0">
      <alignment vertical="top" wrapText="1" textRotation="0" indent="0"/>
    </xf>
    <xf borderId="6" fillId="0" fontId="7" numFmtId="164" xfId="0">
      <alignment vertical="top" wrapText="1" textRotation="0" indent="0"/>
    </xf>
    <xf borderId="8" fillId="0" fontId="7" numFmtId="4" xfId="0">
      <alignment vertical="top" wrapText="1" textRotation="0" indent="0"/>
    </xf>
    <xf borderId="0" fillId="0" fontId="1" numFmtId="0" xfId="0">
      <alignment vertical="top"/>
    </xf>
    <xf borderId="9" fillId="0" fontId="10" numFmtId="0" xfId="0">
      <alignment horizontal="center" vertical="top" wrapText="1" textRotation="0"/>
    </xf>
    <xf borderId="10" fillId="0" fontId="9" numFmtId="4" xfId="0">
      <alignment vertical="top" wrapText="1" textRotation="0" indent="0"/>
    </xf>
    <xf borderId="10" fillId="0" fontId="7" numFmtId="4" xfId="0">
      <alignment vertical="top" wrapText="1" textRotation="0" indent="0"/>
    </xf>
    <xf borderId="10" fillId="0" fontId="8" numFmtId="4" xfId="0">
      <alignment vertical="top" wrapText="1" textRotation="0" indent="0"/>
    </xf>
    <xf borderId="10" fillId="0" fontId="7" numFmtId="164" xfId="0">
      <alignment vertical="top" wrapText="1" textRotation="0" indent="0"/>
    </xf>
    <xf borderId="11" fillId="0" fontId="7" numFmtId="4" xfId="0">
      <alignment vertical="top" wrapText="1" textRotation="0" indent="0"/>
    </xf>
    <xf borderId="9" fillId="0" fontId="10" numFmtId="165" xfId="0">
      <alignment horizontal="center" vertical="top" wrapText="1" textRotation="0"/>
    </xf>
    <xf borderId="12" fillId="0" fontId="10" numFmtId="0" xfId="0">
      <alignment horizontal="center" vertical="top" wrapText="1" textRotation="0"/>
    </xf>
    <xf borderId="13" fillId="0" fontId="9" numFmtId="4" xfId="0">
      <alignment vertical="top" wrapText="1" textRotation="0" indent="0"/>
    </xf>
    <xf borderId="13" fillId="0" fontId="7" numFmtId="4" xfId="0">
      <alignment vertical="top" wrapText="1" textRotation="0" indent="0"/>
    </xf>
    <xf borderId="13" fillId="0" fontId="8" numFmtId="4" xfId="0">
      <alignment vertical="top" wrapText="1" textRotation="0" indent="0"/>
    </xf>
    <xf borderId="13" fillId="0" fontId="7" numFmtId="164" xfId="0">
      <alignment vertical="top" wrapText="1" textRotation="0" indent="0"/>
    </xf>
    <xf borderId="14" fillId="0" fontId="7" numFmtId="4" xfId="0">
      <alignment vertical="top" wrapText="1" textRotation="0" indent="0"/>
    </xf>
    <xf borderId="15" fillId="0" fontId="10" numFmtId="0" xfId="0">
      <alignment horizontal="center" vertical="top" wrapText="1" textRotation="0"/>
    </xf>
    <xf borderId="16" fillId="0" fontId="9" numFmtId="4" xfId="0">
      <alignment vertical="top" wrapText="1" textRotation="0" indent="0"/>
    </xf>
    <xf borderId="16" fillId="0" fontId="7" numFmtId="4" xfId="0">
      <alignment vertical="top" wrapText="1" textRotation="0" indent="0"/>
    </xf>
    <xf borderId="16" fillId="0" fontId="8" numFmtId="4" xfId="0">
      <alignment vertical="top" wrapText="1" textRotation="0" indent="0"/>
    </xf>
    <xf borderId="16" fillId="0" fontId="7" numFmtId="164" xfId="0">
      <alignment vertical="top" wrapText="1" textRotation="0" indent="0"/>
    </xf>
    <xf borderId="17" fillId="0" fontId="7" numFmtId="4" xfId="0">
      <alignment vertical="top" wrapText="1" textRotation="0" indent="0"/>
    </xf>
    <xf borderId="18" fillId="0" fontId="10" numFmtId="0" xfId="0">
      <alignment horizontal="center" vertical="top" wrapText="1" textRotation="0"/>
    </xf>
    <xf borderId="19" fillId="0" fontId="9" numFmtId="4" xfId="0">
      <alignment vertical="top" wrapText="1" textRotation="0" indent="0"/>
    </xf>
    <xf borderId="19" fillId="0" fontId="11" numFmtId="4" xfId="0">
      <alignment vertical="top" wrapText="1" textRotation="0" indent="0"/>
    </xf>
    <xf borderId="19" fillId="0" fontId="7" numFmtId="4" xfId="0">
      <alignment vertical="top" wrapText="1" textRotation="0" indent="0"/>
    </xf>
    <xf borderId="19" fillId="0" fontId="8" numFmtId="4" xfId="0">
      <alignment vertical="top" wrapText="1" textRotation="0" indent="0"/>
    </xf>
    <xf borderId="19" fillId="0" fontId="7" numFmtId="164" xfId="0">
      <alignment vertical="top" wrapText="1" textRotation="0" indent="0"/>
    </xf>
    <xf borderId="20" fillId="0" fontId="7" numFmtId="4" xfId="0">
      <alignment vertical="top" wrapText="1" textRotation="0" indent="0"/>
    </xf>
    <xf borderId="2" fillId="0" fontId="4" numFmtId="0" xfId="0">
      <alignment horizontal="center" vertical="top" wrapText="1" textRotation="0"/>
    </xf>
    <xf borderId="3" fillId="0" fontId="12" numFmtId="4" xfId="0">
      <alignment vertical="top" wrapText="1" textRotation="0" indent="0"/>
    </xf>
    <xf borderId="3" fillId="0" fontId="12" numFmtId="164" xfId="0">
      <alignment vertical="top" wrapText="1" textRotation="0" indent="0"/>
    </xf>
    <xf borderId="4" fillId="0" fontId="12" numFmtId="4" xfId="0">
      <alignment vertical="top" wrapText="1" textRotation="0" indent="0"/>
    </xf>
    <xf borderId="1" fillId="0" fontId="1" numFmtId="0" xfId="0">
      <alignment vertical="top"/>
    </xf>
    <xf borderId="21" fillId="0" fontId="4" numFmtId="0" xfId="0">
      <alignment horizontal="center" vertical="top" wrapText="1" textRotation="0"/>
    </xf>
    <xf borderId="22" fillId="0" fontId="12" numFmtId="4" xfId="0">
      <alignment vertical="top" wrapText="1" textRotation="0" indent="0"/>
    </xf>
    <xf borderId="1" fillId="0" fontId="1" numFmtId="0" xfId="0">
      <alignment vertical="bottom"/>
    </xf>
    <xf borderId="1" fillId="0" fontId="4" numFmtId="0" xfId="0">
      <alignment vertical="center" textRotation="0" indent="0"/>
    </xf>
    <xf borderId="0" fillId="0" fontId="4" numFmtId="0" xfId="0">
      <alignment vertical="center" textRotation="0" indent="0"/>
    </xf>
    <xf borderId="23" fillId="0" fontId="4" numFmtId="0" xfId="0">
      <alignment horizontal="center" vertical="top" wrapText="1" textRotation="0"/>
    </xf>
    <xf borderId="5" fillId="0" fontId="4" numFmtId="0" xfId="0">
      <alignment horizontal="center" vertical="top" wrapText="1" textRotation="0"/>
    </xf>
    <xf borderId="24" fillId="0" fontId="4" numFmtId="0" xfId="0">
      <alignment horizontal="center" vertical="top" wrapText="1" textRotation="0"/>
    </xf>
    <xf borderId="25" fillId="0" fontId="4" numFmtId="0" xfId="0">
      <alignment horizontal="center" vertical="top" wrapText="1" textRotation="0"/>
    </xf>
    <xf borderId="15" fillId="0" fontId="4" numFmtId="0" xfId="0">
      <alignment horizontal="center" vertical="top" wrapText="1" textRotation="0"/>
    </xf>
    <xf borderId="26" fillId="0" fontId="4" numFmtId="0" xfId="0">
      <alignment horizontal="center" vertical="top" wrapText="1" textRotation="0"/>
    </xf>
    <xf borderId="12" fillId="0" fontId="4" numFmtId="0" xfId="0">
      <alignment horizontal="center" vertical="top" wrapText="1" textRotation="0"/>
    </xf>
    <xf borderId="27" fillId="0" fontId="4" numFmtId="0" xfId="0">
      <alignment horizontal="center" vertical="top" wrapText="1" textRotation="0"/>
    </xf>
    <xf borderId="18" fillId="0" fontId="4" numFmtId="0" xfId="0">
      <alignment horizontal="center" vertical="top" wrapText="1" textRotation="0"/>
    </xf>
    <xf borderId="28" fillId="0" fontId="4" numFmtId="0" xfId="0">
      <alignment horizontal="center" vertical="top" wrapText="1" textRotation="0"/>
    </xf>
    <xf borderId="20" fillId="0" fontId="7" numFmtId="164" xfId="0">
      <alignment vertical="top" wrapText="1" textRotation="0" indent="0"/>
    </xf>
    <xf borderId="9" fillId="0" fontId="4" numFmtId="0" xfId="0">
      <alignment horizontal="center" vertical="top" wrapText="1" textRotation="0"/>
    </xf>
    <xf borderId="29" fillId="0" fontId="4" numFmtId="0" xfId="0">
      <alignment horizontal="center" vertical="top" wrapText="1" textRotation="0"/>
    </xf>
    <xf borderId="0" fillId="0" fontId="13" numFmtId="0" xfId="0">
      <alignment vertical="top"/>
    </xf>
    <xf borderId="30" fillId="0" fontId="4" numFmtId="0" xfId="0">
      <alignment horizontal="center" vertical="top" wrapText="1" textRotation="0"/>
    </xf>
    <xf borderId="31" fillId="0" fontId="7" numFmtId="4" xfId="0">
      <alignment horizontal="center" vertical="top" wrapText="1" textRotation="0"/>
    </xf>
    <xf borderId="0" fillId="0" fontId="1" numFmtId="0" xfId="0">
      <alignment horizontal="left" vertical="top" textRotation="0" indent="0"/>
    </xf>
    <xf borderId="0" fillId="0" fontId="14" numFmtId="0" xfId="0">
      <alignment horizontal="left" vertical="top" textRotation="0" indent="0"/>
    </xf>
    <xf borderId="0" fillId="0" fontId="15" numFmtId="0" xfId="0">
      <alignment vertical="top"/>
    </xf>
    <xf borderId="0" fillId="0" fontId="2" numFmtId="0" xfId="0">
      <alignment vertical="top"/>
    </xf>
    <xf borderId="0" fillId="0" fontId="1" numFmtId="0" xfId="0">
      <alignment horizontal="center" vertical="center" wrapText="1" textRotation="0"/>
    </xf>
    <xf borderId="0" fillId="0" fontId="4" numFmtId="0" xfId="0">
      <alignment horizontal="center" vertical="center" wrapText="1" textRotation="0"/>
    </xf>
    <xf borderId="32" fillId="0" fontId="4" numFmtId="0" xfId="0">
      <alignment horizontal="center" vertical="center" wrapText="1" textRotation="0"/>
    </xf>
    <xf borderId="33" fillId="0" fontId="4" numFmtId="0" xfId="0">
      <alignment horizontal="center" vertical="center" wrapText="1" textRotation="0"/>
    </xf>
    <xf borderId="34" fillId="0" fontId="4" numFmtId="0" xfId="0">
      <alignment horizontal="center" vertical="center" wrapText="1" textRotation="0"/>
    </xf>
    <xf borderId="21" fillId="0" fontId="5" numFmtId="0" xfId="0">
      <alignment horizontal="center" vertical="center" wrapText="1" textRotation="0"/>
    </xf>
    <xf borderId="35" fillId="0" fontId="6" numFmtId="0" xfId="0">
      <alignment horizontal="center" vertical="center" wrapText="1" textRotation="0"/>
    </xf>
    <xf borderId="36" fillId="0" fontId="1" numFmtId="0" xfId="0">
      <alignment vertical="bottom"/>
    </xf>
    <xf borderId="35" fillId="0" fontId="9" numFmtId="0" xfId="0">
      <alignment vertical="center" wrapText="1" textRotation="0" indent="0"/>
    </xf>
    <xf borderId="35" fillId="0" fontId="7" numFmtId="0" xfId="0">
      <alignment horizontal="center" vertical="center" wrapText="1" textRotation="0"/>
    </xf>
    <xf borderId="35" fillId="0" fontId="8" numFmtId="0" xfId="0">
      <alignment horizontal="center" vertical="center" wrapText="1" textRotation="0"/>
    </xf>
    <xf borderId="35" fillId="0" fontId="9" numFmtId="0" xfId="0">
      <alignment horizontal="center" vertical="center" wrapText="1" textRotation="0"/>
    </xf>
    <xf borderId="22" fillId="0" fontId="7" numFmtId="0" xfId="0">
      <alignment horizontal="center" vertical="center" wrapText="1" textRotation="0"/>
    </xf>
    <xf borderId="37" fillId="0" fontId="1" numFmtId="0" xfId="0">
      <alignment horizontal="center" vertical="top" wrapText="1" textRotation="0"/>
    </xf>
    <xf borderId="38" fillId="0" fontId="9" numFmtId="4" xfId="0">
      <alignment vertical="top" wrapText="1" textRotation="0" indent="0"/>
    </xf>
    <xf borderId="38" fillId="0" fontId="9" numFmtId="4" xfId="0">
      <alignment vertical="center" wrapText="1" textRotation="0" indent="0"/>
    </xf>
    <xf borderId="38" fillId="0" fontId="8" numFmtId="0" xfId="0">
      <alignment vertical="top" wrapText="1" textRotation="0" indent="0"/>
    </xf>
    <xf borderId="38" fillId="0" fontId="7" numFmtId="4" xfId="0">
      <alignment vertical="top" wrapText="1" textRotation="0" indent="0"/>
    </xf>
    <xf borderId="38" fillId="0" fontId="8" numFmtId="4" xfId="0">
      <alignment vertical="top" wrapText="1" textRotation="0" indent="0"/>
    </xf>
    <xf borderId="38" fillId="0" fontId="7" numFmtId="164" xfId="0">
      <alignment vertical="top" wrapText="1" textRotation="0" indent="0"/>
    </xf>
    <xf borderId="39" fillId="0" fontId="7" numFmtId="4" xfId="0">
      <alignment vertical="top" wrapText="1" textRotation="0" indent="0"/>
    </xf>
    <xf borderId="40" fillId="0" fontId="1" numFmtId="0" xfId="0">
      <alignment horizontal="center" vertical="top" wrapText="1" textRotation="0"/>
    </xf>
    <xf borderId="41" fillId="0" fontId="9" numFmtId="4" xfId="0">
      <alignment vertical="top" wrapText="1" textRotation="0" indent="0"/>
    </xf>
    <xf borderId="41" fillId="0" fontId="7" numFmtId="4" xfId="0">
      <alignment vertical="top" wrapText="1" textRotation="0" indent="0"/>
    </xf>
    <xf borderId="41" fillId="0" fontId="8" numFmtId="0" xfId="0">
      <alignment vertical="top" wrapText="1" textRotation="0" indent="0"/>
    </xf>
    <xf borderId="41" fillId="0" fontId="8" numFmtId="4" xfId="0">
      <alignment vertical="top" wrapText="1" textRotation="0" indent="0"/>
    </xf>
    <xf borderId="41" fillId="0" fontId="7" numFmtId="164" xfId="0">
      <alignment vertical="top" wrapText="1" textRotation="0" indent="0"/>
    </xf>
    <xf borderId="42" fillId="0" fontId="7" numFmtId="4" xfId="0">
      <alignment vertical="top" wrapText="1" textRotation="0" indent="0"/>
    </xf>
    <xf borderId="43" fillId="0" fontId="1" numFmtId="165" xfId="0">
      <alignment horizontal="center" vertical="top" wrapText="1" textRotation="0"/>
    </xf>
    <xf borderId="44" fillId="0" fontId="9" numFmtId="4" xfId="0">
      <alignment vertical="top" wrapText="1" textRotation="0" indent="0"/>
    </xf>
    <xf borderId="44" fillId="0" fontId="7" numFmtId="4" xfId="0">
      <alignment vertical="top" wrapText="1" textRotation="0" indent="0"/>
    </xf>
    <xf borderId="44" fillId="0" fontId="8" numFmtId="0" xfId="0">
      <alignment vertical="top" wrapText="1" textRotation="0" indent="0"/>
    </xf>
    <xf borderId="44" fillId="0" fontId="8" numFmtId="4" xfId="0">
      <alignment vertical="top" wrapText="1" textRotation="0" indent="0"/>
    </xf>
    <xf borderId="44" fillId="0" fontId="7" numFmtId="164" xfId="0">
      <alignment vertical="top" wrapText="1" textRotation="0" indent="0"/>
    </xf>
    <xf borderId="45" fillId="0" fontId="7" numFmtId="4" xfId="0">
      <alignment vertical="top" wrapText="1" textRotation="0" indent="0"/>
    </xf>
    <xf borderId="43" fillId="0" fontId="1" numFmtId="0" xfId="0">
      <alignment horizontal="center" vertical="top" wrapText="1" textRotation="0"/>
    </xf>
    <xf borderId="46" fillId="0" fontId="1" numFmtId="0" xfId="0">
      <alignment horizontal="center" vertical="top" wrapText="1" textRotation="0"/>
    </xf>
    <xf borderId="47" fillId="0" fontId="9" numFmtId="4" xfId="0">
      <alignment vertical="top" wrapText="1" textRotation="0" indent="0"/>
    </xf>
    <xf borderId="47" fillId="0" fontId="7" numFmtId="4" xfId="0">
      <alignment vertical="top" wrapText="1" textRotation="0" indent="0"/>
    </xf>
    <xf borderId="47" fillId="0" fontId="8" numFmtId="0" xfId="0">
      <alignment vertical="top" wrapText="1" textRotation="0" indent="0"/>
    </xf>
    <xf borderId="48" fillId="0" fontId="7" numFmtId="4" xfId="0">
      <alignment vertical="top" wrapText="1" textRotation="0" indent="0"/>
    </xf>
    <xf borderId="47" fillId="0" fontId="8" numFmtId="4" xfId="0">
      <alignment vertical="top" wrapText="1" textRotation="0" indent="0"/>
    </xf>
    <xf borderId="47" fillId="0" fontId="7" numFmtId="164" xfId="0">
      <alignment vertical="top" wrapText="1" textRotation="0" indent="0"/>
    </xf>
    <xf borderId="49" fillId="0" fontId="7" numFmtId="4" xfId="0">
      <alignment vertical="top" wrapText="1" textRotation="0" indent="0"/>
    </xf>
    <xf borderId="50" fillId="0" fontId="1" numFmtId="0" xfId="0">
      <alignment horizontal="center" vertical="top" wrapText="1" textRotation="0"/>
    </xf>
    <xf borderId="51" fillId="0" fontId="9" numFmtId="4" xfId="0">
      <alignment vertical="top" wrapText="1" textRotation="0" indent="0"/>
    </xf>
    <xf borderId="51" fillId="0" fontId="7" numFmtId="4" xfId="0">
      <alignment vertical="top" wrapText="1" textRotation="0" indent="0"/>
    </xf>
    <xf borderId="51" fillId="0" fontId="8" numFmtId="0" xfId="0">
      <alignment vertical="top" wrapText="1" textRotation="0" indent="0"/>
    </xf>
    <xf borderId="51" fillId="0" fontId="8" numFmtId="4" xfId="0">
      <alignment vertical="top" wrapText="1" textRotation="0" indent="0"/>
    </xf>
    <xf borderId="51" fillId="0" fontId="7" numFmtId="164" xfId="0">
      <alignment vertical="top" wrapText="1" textRotation="0" indent="0"/>
    </xf>
    <xf borderId="52" fillId="0" fontId="7" numFmtId="4" xfId="0">
      <alignment vertical="top" wrapText="1" textRotation="0" indent="0"/>
    </xf>
    <xf borderId="13" fillId="0" fontId="11" numFmtId="4" xfId="0">
      <alignment vertical="top" wrapText="1" textRotation="0" indent="0"/>
    </xf>
    <xf borderId="32" fillId="0" fontId="4" numFmtId="0" xfId="0">
      <alignment horizontal="center" vertical="top" wrapText="1" textRotation="0"/>
    </xf>
    <xf borderId="33" fillId="0" fontId="7" numFmtId="4" xfId="0">
      <alignment vertical="top" wrapText="1" textRotation="0" indent="0"/>
    </xf>
    <xf borderId="33" fillId="0" fontId="7" numFmtId="0" xfId="0">
      <alignment vertical="top" wrapText="1" textRotation="0" indent="0"/>
    </xf>
    <xf borderId="33" fillId="0" fontId="7" numFmtId="164" xfId="0">
      <alignment vertical="top" wrapText="1" textRotation="0" indent="0"/>
    </xf>
    <xf borderId="34" fillId="0" fontId="7" numFmtId="4" xfId="0">
      <alignment vertical="top" wrapText="1" textRotation="0" indent="0"/>
    </xf>
    <xf borderId="0" fillId="0" fontId="1" numFmtId="0" xfId="0">
      <alignment vertical="top" textRotation="0" indent="0"/>
    </xf>
    <xf borderId="1" fillId="0" fontId="1" numFmtId="0" xfId="0">
      <alignment vertical="top" textRotation="0" indent="0"/>
    </xf>
    <xf borderId="22" fillId="0" fontId="7" numFmtId="4" xfId="0">
      <alignment vertical="top" wrapText="1" textRotation="0" indent="0"/>
    </xf>
    <xf borderId="21" fillId="0" fontId="4" numFmtId="0" xfId="0">
      <alignment horizontal="center" vertical="center" wrapText="1" textRotation="0"/>
    </xf>
    <xf borderId="22" fillId="0" fontId="4" numFmtId="0" xfId="0">
      <alignment horizontal="center" vertical="center" wrapText="1" textRotation="0"/>
    </xf>
    <xf borderId="40" fillId="0" fontId="4" numFmtId="0" xfId="0">
      <alignment horizontal="center" vertical="top" wrapText="1" textRotation="0"/>
    </xf>
    <xf borderId="53" fillId="0" fontId="4" numFmtId="0" xfId="0">
      <alignment horizontal="center" vertical="top" wrapText="1" textRotation="0"/>
    </xf>
    <xf borderId="46" fillId="0" fontId="4" numFmtId="0" xfId="0">
      <alignment horizontal="center" vertical="top" wrapText="1" textRotation="0"/>
    </xf>
    <xf borderId="54" fillId="0" fontId="7" numFmtId="4" xfId="0">
      <alignment vertical="top" wrapText="1" textRotation="0" indent="0"/>
    </xf>
    <xf borderId="31" fillId="0" fontId="7" numFmtId="4" xfId="0">
      <alignment vertical="top" wrapText="1" textRotation="0" indent="0"/>
    </xf>
    <xf borderId="55" fillId="0" fontId="7" numFmtId="164" xfId="0">
      <alignment vertical="top" wrapText="1" textRotation="0" indent="0"/>
    </xf>
    <xf borderId="31" fillId="0" fontId="7" numFmtId="164" xfId="0">
      <alignment vertical="top" wrapText="1" textRotation="0" indent="0"/>
    </xf>
    <xf borderId="56" fillId="0" fontId="4" numFmtId="0" xfId="0">
      <alignment horizontal="center" vertical="top" wrapText="1" textRotation="0"/>
    </xf>
    <xf borderId="57" fillId="0" fontId="7" numFmtId="4" xfId="0">
      <alignment vertical="top" wrapText="1" textRotation="0" indent="0"/>
    </xf>
    <xf borderId="58" fillId="0" fontId="7" numFmtId="4" xfId="0">
      <alignment vertical="top" wrapText="1" textRotation="0" indent="0"/>
    </xf>
    <xf borderId="0" fillId="0" fontId="16" numFmtId="0" xfId="0">
      <alignment vertical="bottom"/>
    </xf>
    <xf borderId="59" fillId="0" fontId="4" numFmtId="0" xfId="0">
      <alignment horizontal="center" vertical="top" wrapText="1" textRotation="0"/>
    </xf>
    <xf borderId="60" fillId="0" fontId="7" numFmtId="4" xfId="0">
      <alignment vertical="top" wrapText="1" textRotation="0" indent="0"/>
    </xf>
    <xf borderId="61" fillId="0" fontId="7" numFmtId="4" xfId="0">
      <alignment vertical="top" wrapText="1" textRotation="0" indent="0"/>
    </xf>
    <xf borderId="0" fillId="0" fontId="17" numFmtId="0" xfId="0">
      <alignment vertical="top" textRotation="0" indent="0"/>
    </xf>
  </cellXfs>
  <cellStyles count="1">
    <cellStyle name="Normal" xfId="0" builtinId="0" customBuiltin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worksheets/sheet2.xml" Id="rId2" Type="http://schemas.openxmlformats.org/officeDocument/2006/relationships/worksheet"/><Relationship Target="sharedStrings.xml" Id="rId3" Type="http://schemas.openxmlformats.org/officeDocument/2006/relationships/sharedStrings"/><Relationship Target="styles.xml" Id="rId4" Type="http://schemas.openxmlformats.org/officeDocument/2006/relationships/styles"/></Relationships>
</file>

<file path=xl/drawings/vmlDrawing1.xml><?xml version="1.0" encoding="utf-8"?>
<xml xmlns:v="urn:schemas-microsoft-com:vml" xmlns:o="urn:schemas-microsoft-com:office:office" xmlns:x="urn:schemas-microsoft-com:office:excel" xmlns:w10="urn:schemas-microsoft-com:office:word">
  <v:shapetype id="_x005F_x0000_t202" coordsize="21600,21600" o:spt="202" path="m,l,21600l21600,21600l21600,xe">
    <v:stroke joinstyle="miter"/>
    <v:path gradientshapeok="t" o:connecttype="rect"/>
  </v:shapetype>
  <v:shape id="shape_1" fillcolor="#ffffc0" stroked="t" type="_x005F_x0000_t202" style="position:absolute;margin-left:97pt;margin-top:0pt;width:82.15pt;height:17.3pt;visibility:hidden">
    <v:shadow on="t" obscured="t" color="black"/>
    <w10:wrap type="none"/>
    <v:fill o:detectmouseclick="t" type="solid" color2="#00003f"/>
    <v:stroke color="#3465a4" startarrow="block" startarrowwidth="medium" startarrowlength="medium" joinstyle="round" endcap="flat"/>
    <x:ClientData ObjectType="Note">
      <x:MoveWithCells/>
      <x:SizeWithCells/>
      <x:Anchor>0, 0, 0, 0, 3, 0, 10, 0</x:Anchor>
      <x:AutoFill>False</x:AutoFill>
      <x:Row>3</x:Row>
      <x:Column>4</x:Column>
    </x:ClientData>
  </v:shape>
  <v:shape id="shape_2" fillcolor="#ffffc0" stroked="t" type="_x005F_x0000_t202" style="position:absolute;margin-left:97pt;margin-top:0pt;width:82.15pt;height:17.3pt;visibility:hidden">
    <v:shadow on="t" obscured="t" color="black"/>
    <w10:wrap type="none"/>
    <v:fill o:detectmouseclick="t" type="solid" color2="#00003f"/>
    <v:stroke color="#3465a4" startarrow="block" startarrowwidth="medium" startarrowlength="medium" joinstyle="round" endcap="flat"/>
    <x:ClientData ObjectType="Note">
      <x:MoveWithCells/>
      <x:SizeWithCells/>
      <x:Anchor>0, 0, 0, 0, 3, 0, 10, 0</x:Anchor>
      <x:AutoFill>False</x:AutoFill>
      <x:Row>15</x:Row>
      <x:Column>4</x:Column>
    </x:ClientData>
  </v:shape>
</xml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www.kadifeli.com/fedon/bordro.php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www.kadifeli.com/fedon/bordro.php" TargetMode="External"/><Relationship Target="../comments1.xml" Id="rId2" Type="http://schemas.openxmlformats.org/officeDocument/2006/relationships/comments"/><Relationship Target="../drawings/vmlDrawing1.xml" Id="rId3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sheetPr>
    <tabColor rgb="FFF8B5C8"/>
  </sheetPr>
  <dimension ref="A1:O25"/>
  <sheetViews>
    <sheetView workbookViewId="0"/>
  </sheetViews>
  <sheetFormatPr defaultRowHeight="16.0" customHeight="1"/>
  <cols>
    <col min="1" max="1" style="1" width="12.98"/>
    <col min="2" max="3" style="1" width="11.65"/>
    <col min="4" max="4" style="1" width="9.0"/>
    <col min="5" max="6" style="1" width="11.65"/>
    <col min="7" max="9" style="1" width="9.0"/>
    <col min="10" max="12" style="1" width="11.65"/>
    <col min="13" max="14" style="1" width="9.0"/>
    <col min="15" max="15" style="1" width="11.65"/>
    <col min="16" max="244" style="1" width="16.95"/>
    <col min="245" max="256" style="2" width="16.95"/>
    <col min="257" max="257" width="11.65"/>
    <col min="258" max="1025" width="11.65"/>
  </cols>
  <sheetData>
    <row r="1" customHeight="1" ht="12.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/>
    </row>
    <row r="2" customHeight="1" ht="47.0">
      <c r="A2" s="5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7" t="s">
        <v>28</v>
      </c>
    </row>
    <row r="3" customHeight="1" ht="47.0">
      <c r="A3" s="8" t="s">
        <v>29</v>
      </c>
      <c r="B3" s="9"/>
      <c r="C3" s="9"/>
      <c r="D3" s="9"/>
      <c r="E3" s="10"/>
      <c r="F3" s="11" t="s">
        <v>30</v>
      </c>
      <c r="G3" s="11" t="s">
        <v>31</v>
      </c>
      <c r="H3" s="12" t="s">
        <v>32</v>
      </c>
      <c r="I3" s="12"/>
      <c r="J3" s="10" t="s">
        <v>33</v>
      </c>
      <c r="K3" s="10">
        <v>0.0</v>
      </c>
      <c r="L3" s="10"/>
      <c r="M3" s="10" t="s">
        <v>34</v>
      </c>
      <c r="N3" s="10" t="s">
        <v>35</v>
      </c>
      <c r="O3" s="13" t="s">
        <v>36</v>
      </c>
    </row>
    <row r="4" customHeight="1" ht="12.0">
      <c r="A4" s="14" t="s">
        <v>37</v>
      </c>
      <c r="B4" s="15">
        <v>120000.0</v>
      </c>
      <c r="C4" s="15">
        <f t="shared" ref="C4:C15" si="0">B4/3</f>
        <v>40000.0</v>
      </c>
      <c r="D4" s="16">
        <f t="shared" ref="D4:D9" si="1">$I$20*0.85*0.15</f>
        <v>4211.325</v>
      </c>
      <c r="E4" s="17">
        <f t="shared" ref="E4:E9" si="2">MIN(B4+C4,M$19)</f>
        <v>160000.0</v>
      </c>
      <c r="F4" s="18">
        <f t="shared" ref="F4:F15" si="3">E4*0.14</f>
        <v>22400.0</v>
      </c>
      <c r="G4" s="18">
        <f t="shared" ref="G4:G15" si="4">E4*0.01</f>
        <v>1600.0</v>
      </c>
      <c r="H4" s="15">
        <f t="shared" ref="H4:H15" si="5">TRUNC(E4*0.03)</f>
        <v>4800.0</v>
      </c>
      <c r="I4" s="15">
        <v>500.0</v>
      </c>
      <c r="J4" s="17">
        <f t="shared" ref="J4:J15" si="6">B4+C4-F4-G4</f>
        <v>136000.0</v>
      </c>
      <c r="K4" s="17">
        <f t="shared" ref="K4:K15" si="7">K3+J4</f>
        <v>136000.0</v>
      </c>
      <c r="L4" s="17">
        <f t="shared" ref="L4:L15" si="8">MAX(0,MAX((K4-$F$22)*0.05,0)+MAX((K4-$F$21)*0.08,0)+MAX((K4-$F$20)*0.07,0)+MAX((K4-$F$19)*0.05,0)+K4*0.15-(MAX((K3-$F$22)*0.05,0)+MAX((K3-$F$21)*0.08,0)+MAX((K3-$F$20)*0.07,0)+MAX((K3-$F$19)*0.05,0)+K3*0.15)-D4)</f>
        <v>16188.675</v>
      </c>
      <c r="M4" s="19">
        <f t="shared" ref="M4:M16" si="9">L4/J4</f>
        <v>0.119034375</v>
      </c>
      <c r="N4" s="17">
        <f t="shared" ref="N4:N9" si="10">MAX(0,(B4+C4)*0.00759-$I$22)</f>
        <v>963.7023</v>
      </c>
      <c r="O4" s="20">
        <f t="shared" ref="O4:O15" si="11">B4+C4-F4-G4-H4-I4-L4-N4</f>
        <v>113547.6227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customHeight="1" ht="12.0">
      <c r="A5" s="22" t="s">
        <v>38</v>
      </c>
      <c r="B5" s="23">
        <v>120000.0</v>
      </c>
      <c r="C5" s="23">
        <f t="shared" si="0"/>
        <v>40000.0</v>
      </c>
      <c r="D5" s="24">
        <f t="shared" si="1"/>
        <v>4211.325</v>
      </c>
      <c r="E5" s="24">
        <f t="shared" si="2"/>
        <v>160000.0</v>
      </c>
      <c r="F5" s="25">
        <f t="shared" si="3"/>
        <v>22400.0</v>
      </c>
      <c r="G5" s="25">
        <f t="shared" si="4"/>
        <v>1600.0</v>
      </c>
      <c r="H5" s="23">
        <f t="shared" si="5"/>
        <v>4800.0</v>
      </c>
      <c r="I5" s="23">
        <v>500.0</v>
      </c>
      <c r="J5" s="24">
        <f t="shared" si="6"/>
        <v>136000.0</v>
      </c>
      <c r="K5" s="24">
        <f t="shared" si="7"/>
        <v>272000.0</v>
      </c>
      <c r="L5" s="24">
        <f t="shared" si="8"/>
        <v>20288.675</v>
      </c>
      <c r="M5" s="26">
        <f t="shared" si="9"/>
        <v>0.149181433823529</v>
      </c>
      <c r="N5" s="24">
        <f t="shared" si="10"/>
        <v>963.7023</v>
      </c>
      <c r="O5" s="27">
        <f t="shared" si="11"/>
        <v>109447.6227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customHeight="1" ht="12.0">
      <c r="A6" s="28" t="s">
        <v>39</v>
      </c>
      <c r="B6" s="23">
        <v>120000.0</v>
      </c>
      <c r="C6" s="23">
        <f t="shared" si="0"/>
        <v>40000.0</v>
      </c>
      <c r="D6" s="17">
        <f t="shared" si="1"/>
        <v>4211.325</v>
      </c>
      <c r="E6" s="24">
        <f t="shared" si="2"/>
        <v>160000.0</v>
      </c>
      <c r="F6" s="25">
        <f t="shared" si="3"/>
        <v>22400.0</v>
      </c>
      <c r="G6" s="25">
        <f t="shared" si="4"/>
        <v>1600.0</v>
      </c>
      <c r="H6" s="23">
        <f t="shared" si="5"/>
        <v>4800.0</v>
      </c>
      <c r="I6" s="23">
        <v>500.0</v>
      </c>
      <c r="J6" s="24">
        <f t="shared" si="6"/>
        <v>136000.0</v>
      </c>
      <c r="K6" s="24">
        <f t="shared" si="7"/>
        <v>408000.0</v>
      </c>
      <c r="L6" s="24">
        <f t="shared" si="8"/>
        <v>23548.675</v>
      </c>
      <c r="M6" s="26">
        <f t="shared" si="9"/>
        <v>0.173152022058823</v>
      </c>
      <c r="N6" s="24">
        <f t="shared" si="10"/>
        <v>963.7023</v>
      </c>
      <c r="O6" s="27">
        <f t="shared" si="11"/>
        <v>106187.6227</v>
      </c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customHeight="1" ht="12.0">
      <c r="A7" s="22" t="s">
        <v>40</v>
      </c>
      <c r="B7" s="23">
        <v>120000.0</v>
      </c>
      <c r="C7" s="23">
        <f t="shared" si="0"/>
        <v>40000.0</v>
      </c>
      <c r="D7" s="24">
        <f t="shared" si="1"/>
        <v>4211.325</v>
      </c>
      <c r="E7" s="24">
        <f t="shared" si="2"/>
        <v>160000.0</v>
      </c>
      <c r="F7" s="25">
        <f t="shared" si="3"/>
        <v>22400.0</v>
      </c>
      <c r="G7" s="25">
        <f t="shared" si="4"/>
        <v>1600.0</v>
      </c>
      <c r="H7" s="23">
        <f t="shared" si="5"/>
        <v>4800.0</v>
      </c>
      <c r="I7" s="23">
        <v>500.0</v>
      </c>
      <c r="J7" s="24">
        <f t="shared" si="6"/>
        <v>136000.0</v>
      </c>
      <c r="K7" s="24">
        <f t="shared" si="7"/>
        <v>544000.0</v>
      </c>
      <c r="L7" s="24">
        <f t="shared" si="8"/>
        <v>32508.675</v>
      </c>
      <c r="M7" s="26">
        <f t="shared" si="9"/>
        <v>0.239034375</v>
      </c>
      <c r="N7" s="24">
        <f t="shared" si="10"/>
        <v>963.7023</v>
      </c>
      <c r="O7" s="27">
        <f t="shared" si="11"/>
        <v>97227.6227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customHeight="1" ht="12.0">
      <c r="A8" s="28" t="s">
        <v>41</v>
      </c>
      <c r="B8" s="23">
        <v>120000.0</v>
      </c>
      <c r="C8" s="23">
        <f t="shared" si="0"/>
        <v>40000.0</v>
      </c>
      <c r="D8" s="24">
        <f t="shared" si="1"/>
        <v>4211.325</v>
      </c>
      <c r="E8" s="24">
        <f t="shared" si="2"/>
        <v>160000.0</v>
      </c>
      <c r="F8" s="25">
        <f t="shared" si="3"/>
        <v>22400.0</v>
      </c>
      <c r="G8" s="25">
        <f t="shared" si="4"/>
        <v>1600.0</v>
      </c>
      <c r="H8" s="23">
        <f t="shared" si="5"/>
        <v>4800.0</v>
      </c>
      <c r="I8" s="23">
        <v>500.0</v>
      </c>
      <c r="J8" s="24">
        <f t="shared" si="6"/>
        <v>136000.0</v>
      </c>
      <c r="K8" s="24">
        <f t="shared" si="7"/>
        <v>680000.0</v>
      </c>
      <c r="L8" s="24">
        <f t="shared" si="8"/>
        <v>32508.675</v>
      </c>
      <c r="M8" s="26">
        <f t="shared" si="9"/>
        <v>0.239034375</v>
      </c>
      <c r="N8" s="24">
        <f t="shared" si="10"/>
        <v>963.7023</v>
      </c>
      <c r="O8" s="27">
        <f t="shared" si="11"/>
        <v>97227.6227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customHeight="1" ht="12.0">
      <c r="A9" s="29" t="s">
        <v>42</v>
      </c>
      <c r="B9" s="30">
        <v>120000.0</v>
      </c>
      <c r="C9" s="30">
        <f t="shared" si="0"/>
        <v>40000.0</v>
      </c>
      <c r="D9" s="31">
        <f t="shared" si="1"/>
        <v>4211.325</v>
      </c>
      <c r="E9" s="31">
        <f t="shared" si="2"/>
        <v>160000.0</v>
      </c>
      <c r="F9" s="32">
        <f t="shared" si="3"/>
        <v>22400.0</v>
      </c>
      <c r="G9" s="32">
        <f t="shared" si="4"/>
        <v>1600.0</v>
      </c>
      <c r="H9" s="30">
        <f t="shared" si="5"/>
        <v>4800.0</v>
      </c>
      <c r="I9" s="30">
        <v>500.0</v>
      </c>
      <c r="J9" s="31">
        <f t="shared" si="6"/>
        <v>136000.0</v>
      </c>
      <c r="K9" s="31">
        <f t="shared" si="7"/>
        <v>816000.0</v>
      </c>
      <c r="L9" s="31">
        <f t="shared" si="8"/>
        <v>32508.675</v>
      </c>
      <c r="M9" s="33">
        <f t="shared" si="9"/>
        <v>0.239034375</v>
      </c>
      <c r="N9" s="31">
        <f t="shared" si="10"/>
        <v>963.7023</v>
      </c>
      <c r="O9" s="34">
        <f t="shared" si="11"/>
        <v>97227.6227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customHeight="1" ht="12.0">
      <c r="A10" s="35" t="s">
        <v>43</v>
      </c>
      <c r="B10" s="36">
        <v>120000.0</v>
      </c>
      <c r="C10" s="36">
        <f t="shared" si="0"/>
        <v>40000.0</v>
      </c>
      <c r="D10" s="37">
        <f>($F$19-($I$20*6+$J$20*0)*0.85)*0.15+(($I$20*6+$J$20*1)*0.85-$F$19)*0.2</f>
        <v>4537.75</v>
      </c>
      <c r="E10" s="37">
        <f t="shared" ref="E10:E15" si="13">MIN(B10+C10,M$20)</f>
        <v>160000.0</v>
      </c>
      <c r="F10" s="38">
        <f t="shared" si="3"/>
        <v>22400.0</v>
      </c>
      <c r="G10" s="38">
        <f t="shared" si="4"/>
        <v>1600.0</v>
      </c>
      <c r="H10" s="36">
        <f t="shared" si="5"/>
        <v>4800.0</v>
      </c>
      <c r="I10" s="36">
        <v>500.0</v>
      </c>
      <c r="J10" s="37">
        <f t="shared" si="6"/>
        <v>136000.0</v>
      </c>
      <c r="K10" s="37">
        <f t="shared" si="7"/>
        <v>952000.0</v>
      </c>
      <c r="L10" s="37">
        <f t="shared" si="8"/>
        <v>32182.25</v>
      </c>
      <c r="M10" s="39">
        <f t="shared" si="9"/>
        <v>0.23663419117647</v>
      </c>
      <c r="N10" s="37">
        <f t="shared" ref="N10:N15" si="14">MAX(0,(B10+C10)*0.00759-$J$22)</f>
        <v>963.7023</v>
      </c>
      <c r="O10" s="40">
        <f t="shared" si="11"/>
        <v>97554.0477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customHeight="1" ht="12.0">
      <c r="A11" s="22" t="s">
        <v>44</v>
      </c>
      <c r="B11" s="23">
        <v>120000.0</v>
      </c>
      <c r="C11" s="23">
        <f t="shared" si="0"/>
        <v>40000.0</v>
      </c>
      <c r="D11" s="24">
        <f t="shared" ref="D11:D15" si="15">$J$20*0.85*0.2</f>
        <v>5615.1</v>
      </c>
      <c r="E11" s="24">
        <f t="shared" si="13"/>
        <v>160000.0</v>
      </c>
      <c r="F11" s="25">
        <f t="shared" si="3"/>
        <v>22400.0</v>
      </c>
      <c r="G11" s="25">
        <f t="shared" si="4"/>
        <v>1600.0</v>
      </c>
      <c r="H11" s="23">
        <f t="shared" si="5"/>
        <v>4800.0</v>
      </c>
      <c r="I11" s="23">
        <v>500.0</v>
      </c>
      <c r="J11" s="24">
        <f t="shared" si="6"/>
        <v>136000.0</v>
      </c>
      <c r="K11" s="24">
        <f t="shared" si="7"/>
        <v>1088000.0</v>
      </c>
      <c r="L11" s="24">
        <f t="shared" si="8"/>
        <v>31104.9</v>
      </c>
      <c r="M11" s="26">
        <f t="shared" si="9"/>
        <v>0.2287125</v>
      </c>
      <c r="N11" s="24">
        <f t="shared" si="14"/>
        <v>963.7023</v>
      </c>
      <c r="O11" s="27">
        <f t="shared" si="11"/>
        <v>98631.3977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customHeight="1" ht="12.0">
      <c r="A12" s="22" t="s">
        <v>45</v>
      </c>
      <c r="B12" s="23">
        <v>120000.0</v>
      </c>
      <c r="C12" s="23">
        <f t="shared" si="0"/>
        <v>40000.0</v>
      </c>
      <c r="D12" s="24">
        <f t="shared" si="15"/>
        <v>5615.1</v>
      </c>
      <c r="E12" s="24">
        <f t="shared" si="13"/>
        <v>160000.0</v>
      </c>
      <c r="F12" s="25">
        <f t="shared" si="3"/>
        <v>22400.0</v>
      </c>
      <c r="G12" s="25">
        <f t="shared" si="4"/>
        <v>1600.0</v>
      </c>
      <c r="H12" s="23">
        <f t="shared" si="5"/>
        <v>4800.0</v>
      </c>
      <c r="I12" s="23">
        <v>500.0</v>
      </c>
      <c r="J12" s="24">
        <f t="shared" si="6"/>
        <v>136000.0</v>
      </c>
      <c r="K12" s="24">
        <f t="shared" si="7"/>
        <v>1224000.0</v>
      </c>
      <c r="L12" s="24">
        <f t="shared" si="8"/>
        <v>31104.9</v>
      </c>
      <c r="M12" s="26">
        <f t="shared" si="9"/>
        <v>0.2287125</v>
      </c>
      <c r="N12" s="24">
        <f t="shared" si="14"/>
        <v>963.7023</v>
      </c>
      <c r="O12" s="27">
        <f t="shared" si="11"/>
        <v>98631.3977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customHeight="1" ht="12.0">
      <c r="A13" s="22" t="s">
        <v>46</v>
      </c>
      <c r="B13" s="23">
        <v>120000.0</v>
      </c>
      <c r="C13" s="23">
        <f t="shared" si="0"/>
        <v>40000.0</v>
      </c>
      <c r="D13" s="24">
        <f t="shared" si="15"/>
        <v>5615.1</v>
      </c>
      <c r="E13" s="24">
        <f t="shared" si="13"/>
        <v>160000.0</v>
      </c>
      <c r="F13" s="25">
        <f t="shared" si="3"/>
        <v>22400.0</v>
      </c>
      <c r="G13" s="25">
        <f t="shared" si="4"/>
        <v>1600.0</v>
      </c>
      <c r="H13" s="23">
        <f t="shared" si="5"/>
        <v>4800.0</v>
      </c>
      <c r="I13" s="23">
        <v>500.0</v>
      </c>
      <c r="J13" s="24">
        <f t="shared" si="6"/>
        <v>136000.0</v>
      </c>
      <c r="K13" s="24">
        <f t="shared" si="7"/>
        <v>1360000.0</v>
      </c>
      <c r="L13" s="24">
        <f t="shared" si="8"/>
        <v>31104.9</v>
      </c>
      <c r="M13" s="26">
        <f t="shared" si="9"/>
        <v>0.2287125</v>
      </c>
      <c r="N13" s="24">
        <f t="shared" si="14"/>
        <v>963.7023</v>
      </c>
      <c r="O13" s="27">
        <f t="shared" si="11"/>
        <v>98631.3977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customHeight="1" ht="12.0">
      <c r="A14" s="22" t="s">
        <v>47</v>
      </c>
      <c r="B14" s="23">
        <v>120000.0</v>
      </c>
      <c r="C14" s="23">
        <f t="shared" si="0"/>
        <v>40000.0</v>
      </c>
      <c r="D14" s="24">
        <f t="shared" si="15"/>
        <v>5615.1</v>
      </c>
      <c r="E14" s="24">
        <f t="shared" si="13"/>
        <v>160000.0</v>
      </c>
      <c r="F14" s="25">
        <f t="shared" si="3"/>
        <v>22400.0</v>
      </c>
      <c r="G14" s="25">
        <f t="shared" si="4"/>
        <v>1600.0</v>
      </c>
      <c r="H14" s="23">
        <f t="shared" si="5"/>
        <v>4800.0</v>
      </c>
      <c r="I14" s="23">
        <v>500.0</v>
      </c>
      <c r="J14" s="24">
        <f t="shared" si="6"/>
        <v>136000.0</v>
      </c>
      <c r="K14" s="24">
        <f t="shared" si="7"/>
        <v>1496000.0</v>
      </c>
      <c r="L14" s="24">
        <f t="shared" si="8"/>
        <v>31104.9</v>
      </c>
      <c r="M14" s="26">
        <f t="shared" si="9"/>
        <v>0.2287125</v>
      </c>
      <c r="N14" s="24">
        <f t="shared" si="14"/>
        <v>963.7023</v>
      </c>
      <c r="O14" s="27">
        <f t="shared" si="11"/>
        <v>98631.3977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customHeight="1" ht="12.0">
      <c r="A15" s="41" t="s">
        <v>48</v>
      </c>
      <c r="B15" s="42">
        <v>120000.0</v>
      </c>
      <c r="C15" s="42">
        <f t="shared" si="0"/>
        <v>40000.0</v>
      </c>
      <c r="D15" s="43">
        <f t="shared" si="15"/>
        <v>5615.1</v>
      </c>
      <c r="E15" s="44">
        <f t="shared" si="13"/>
        <v>160000.0</v>
      </c>
      <c r="F15" s="45">
        <f t="shared" si="3"/>
        <v>22400.0</v>
      </c>
      <c r="G15" s="45">
        <f t="shared" si="4"/>
        <v>1600.0</v>
      </c>
      <c r="H15" s="42">
        <f t="shared" si="5"/>
        <v>4800.0</v>
      </c>
      <c r="I15" s="42">
        <v>500.0</v>
      </c>
      <c r="J15" s="44">
        <f t="shared" si="6"/>
        <v>136000.0</v>
      </c>
      <c r="K15" s="44">
        <f t="shared" si="7"/>
        <v>1632000.0</v>
      </c>
      <c r="L15" s="44">
        <f t="shared" si="8"/>
        <v>41664.9</v>
      </c>
      <c r="M15" s="46">
        <f t="shared" si="9"/>
        <v>0.306359558823529</v>
      </c>
      <c r="N15" s="44">
        <f t="shared" si="14"/>
        <v>963.7023</v>
      </c>
      <c r="O15" s="47">
        <f t="shared" si="11"/>
        <v>88071.3977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customHeight="1" ht="12.0">
      <c r="A16" s="48" t="s">
        <v>49</v>
      </c>
      <c r="B16" s="49">
        <f>SUM(B4:B15)</f>
        <v>1440000.0</v>
      </c>
      <c r="C16" s="49">
        <f>SUM(C4:C15)</f>
        <v>480000.0</v>
      </c>
      <c r="D16" s="49">
        <f>SUM(D4:D15)</f>
        <v>57881.2</v>
      </c>
      <c r="E16" s="49">
        <f>SUM(E4:E15)</f>
        <v>1920000.0</v>
      </c>
      <c r="F16" s="49">
        <f>SUM(F4:F15)</f>
        <v>268800.0</v>
      </c>
      <c r="G16" s="49">
        <f>SUM(G4:G15)</f>
        <v>19200.0</v>
      </c>
      <c r="H16" s="49">
        <f>SUM(H4:H15)</f>
        <v>57600.0</v>
      </c>
      <c r="I16" s="49">
        <f>SUM(I4:I15)</f>
        <v>6000.0</v>
      </c>
      <c r="J16" s="49">
        <f>SUM(J4:J15)</f>
        <v>1632000.0</v>
      </c>
      <c r="K16" s="49"/>
      <c r="L16" s="49">
        <f>SUM(L4:L15)</f>
        <v>355818.8</v>
      </c>
      <c r="M16" s="50">
        <f t="shared" si="9"/>
        <v>0.218026225490196</v>
      </c>
      <c r="N16" s="49">
        <f>SUM(N4:N15)</f>
        <v>11564.4276</v>
      </c>
      <c r="O16" s="51">
        <f>SUM(O4:O15)</f>
        <v>1201016.7724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customHeight="1" ht="12.0">
      <c r="A17" s="21"/>
      <c r="B17" s="52"/>
      <c r="C17" s="5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53" t="s">
        <v>50</v>
      </c>
      <c r="O17" s="54">
        <f>O16/12</f>
        <v>100084.731033333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ht="22.0">
      <c r="A18" s="55"/>
      <c r="B18" s="5" t="s">
        <v>51</v>
      </c>
      <c r="C18" s="7" t="s">
        <v>52</v>
      </c>
      <c r="E18" s="56" t="s">
        <v>53</v>
      </c>
      <c r="F18" s="55"/>
      <c r="H18" s="57" t="s">
        <v>54</v>
      </c>
      <c r="L18" s="57" t="s">
        <v>55</v>
      </c>
    </row>
    <row r="19" customHeight="1" ht="12.0">
      <c r="A19" s="58" t="s">
        <v>56</v>
      </c>
      <c r="B19" s="17">
        <f>B16+C16</f>
        <v>1920000.0</v>
      </c>
      <c r="C19" s="20">
        <f t="shared" ref="C19:C20" si="30">B19/12</f>
        <v>160000.0</v>
      </c>
      <c r="D19" s="21"/>
      <c r="E19" s="59" t="s">
        <v>57</v>
      </c>
      <c r="F19" s="20">
        <v>190000.0</v>
      </c>
      <c r="G19" s="21"/>
      <c r="I19" s="60" t="s">
        <v>58</v>
      </c>
      <c r="J19" s="61" t="s">
        <v>59</v>
      </c>
      <c r="L19" s="62" t="s">
        <v>58</v>
      </c>
      <c r="M19" s="40">
        <v>297270.0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customHeight="1" ht="12.0">
      <c r="A20" s="63" t="s">
        <v>60</v>
      </c>
      <c r="B20" s="24">
        <f>O16</f>
        <v>1201016.7724</v>
      </c>
      <c r="C20" s="27">
        <f t="shared" si="30"/>
        <v>100084.731033333</v>
      </c>
      <c r="D20" s="21"/>
      <c r="E20" s="64" t="s">
        <v>61</v>
      </c>
      <c r="F20" s="34">
        <v>400000.0</v>
      </c>
      <c r="G20" s="21"/>
      <c r="H20" s="65" t="s">
        <v>56</v>
      </c>
      <c r="I20" s="17">
        <v>33030.0</v>
      </c>
      <c r="J20" s="20">
        <v>33030.0</v>
      </c>
      <c r="L20" s="66" t="s">
        <v>59</v>
      </c>
      <c r="M20" s="47">
        <v>297270.0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</row>
    <row r="21" customHeight="1" ht="12.0">
      <c r="A21" s="67" t="s">
        <v>62</v>
      </c>
      <c r="B21" s="46">
        <f>B20/B19</f>
        <v>0.625529568958333</v>
      </c>
      <c r="C21" s="68">
        <f>C20/C19</f>
        <v>0.625529568958331</v>
      </c>
      <c r="D21" s="21"/>
      <c r="E21" s="69" t="s">
        <v>63</v>
      </c>
      <c r="F21" s="27">
        <v>1500000.0</v>
      </c>
      <c r="G21" s="21"/>
      <c r="H21" s="63" t="s">
        <v>60</v>
      </c>
      <c r="I21" s="24">
        <v>28075.5</v>
      </c>
      <c r="J21" s="27">
        <v>28075.5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customHeight="1" ht="12.0">
      <c r="A22" s="21"/>
      <c r="B22" s="21"/>
      <c r="C22" s="21"/>
      <c r="D22" s="21"/>
      <c r="E22" s="69" t="s">
        <v>64</v>
      </c>
      <c r="F22" s="27">
        <v>5300000.0</v>
      </c>
      <c r="G22" s="21"/>
      <c r="H22" s="70" t="s">
        <v>65</v>
      </c>
      <c r="I22" s="44">
        <f>I20*0.759/100</f>
        <v>250.6977</v>
      </c>
      <c r="J22" s="47">
        <f>J20*0.759/100</f>
        <v>250.6977</v>
      </c>
      <c r="L22" s="7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</row>
    <row r="23" customHeight="1" ht="12.0">
      <c r="A23" s="21"/>
      <c r="B23" s="21"/>
      <c r="C23" s="21"/>
      <c r="D23" s="21"/>
      <c r="E23" s="72" t="s">
        <v>66</v>
      </c>
      <c r="F23" s="73" t="s">
        <v>67</v>
      </c>
      <c r="G23" s="21"/>
      <c r="H23" s="21"/>
      <c r="I23" s="21"/>
      <c r="J23" s="21"/>
      <c r="L23" s="7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customHeight="1" ht="12.0">
      <c r="A24" s="21"/>
      <c r="B24" s="21"/>
      <c r="C24" s="21"/>
      <c r="D24" s="21"/>
      <c r="E24" s="21"/>
      <c r="F24" s="21"/>
      <c r="G24" s="21"/>
      <c r="H24" s="21"/>
      <c r="I24" s="74"/>
      <c r="J24" s="74"/>
      <c r="K24" s="21"/>
      <c r="L24" s="7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customHeight="1" ht="12.0">
      <c r="A25" s="21"/>
      <c r="B25" s="75" t="s">
        <v>68</v>
      </c>
      <c r="C25" s="74"/>
      <c r="D25" s="74"/>
      <c r="E25" s="74"/>
      <c r="F25" s="74"/>
      <c r="G25" s="74"/>
      <c r="H25" s="74"/>
      <c r="L25" s="76" t="s">
        <v>69</v>
      </c>
      <c r="M25" s="74"/>
      <c r="N25" s="74"/>
      <c r="O25" s="74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7"/>
      <c r="IV25" s="77"/>
    </row>
    <row r="65535" customHeight="1" ht="12.0"/>
  </sheetData>
  <hyperlinks>
    <hyperlink ref="L25" r:id="rId1"/>
  </hyperlin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sheetPr>
    <tabColor rgb="FFF9E79F"/>
  </sheetPr>
  <dimension ref="A1:S25"/>
  <sheetViews>
    <sheetView workbookViewId="0"/>
  </sheetViews>
  <sheetFormatPr defaultRowHeight="14.0" customHeight="1"/>
  <cols>
    <col min="1" max="1" width="12.98"/>
    <col min="2" max="3" width="11.65"/>
    <col min="4" max="4" width="9.0"/>
    <col min="5" max="6" width="11.65"/>
    <col min="7" max="7" width="6.35"/>
    <col min="8" max="10" width="11.65"/>
    <col min="11" max="13" width="9.0"/>
    <col min="14" max="16" width="11.65"/>
    <col min="17" max="18" width="9.0"/>
    <col min="19" max="256" width="11.65"/>
    <col min="257" max="257" width="11.65"/>
  </cols>
  <sheetData>
    <row r="1" customHeight="1" ht="12.0">
      <c r="A1" s="78" t="s">
        <v>70</v>
      </c>
      <c r="B1" s="79" t="s">
        <v>1</v>
      </c>
      <c r="C1" s="79" t="s">
        <v>2</v>
      </c>
      <c r="D1" s="79" t="s">
        <v>3</v>
      </c>
      <c r="E1" s="79" t="s">
        <v>71</v>
      </c>
      <c r="F1" s="79" t="s">
        <v>72</v>
      </c>
      <c r="G1" s="79" t="s">
        <v>73</v>
      </c>
      <c r="H1" s="79" t="s">
        <v>74</v>
      </c>
      <c r="I1" s="79" t="s">
        <v>4</v>
      </c>
      <c r="J1" s="79" t="s">
        <v>5</v>
      </c>
      <c r="K1" s="79" t="s">
        <v>6</v>
      </c>
      <c r="L1" s="79" t="s">
        <v>7</v>
      </c>
      <c r="M1" s="79" t="s">
        <v>8</v>
      </c>
      <c r="N1" s="79" t="s">
        <v>9</v>
      </c>
      <c r="O1" s="79" t="s">
        <v>10</v>
      </c>
      <c r="P1" s="79" t="s">
        <v>11</v>
      </c>
      <c r="Q1" s="79" t="s">
        <v>12</v>
      </c>
      <c r="R1" s="79" t="s">
        <v>13</v>
      </c>
      <c r="S1" s="79"/>
    </row>
    <row r="2" customHeight="1" ht="47.0">
      <c r="A2" s="80" t="s">
        <v>14</v>
      </c>
      <c r="B2" s="81" t="s">
        <v>15</v>
      </c>
      <c r="C2" s="81" t="s">
        <v>16</v>
      </c>
      <c r="D2" s="81" t="s">
        <v>17</v>
      </c>
      <c r="E2" s="81" t="s">
        <v>75</v>
      </c>
      <c r="F2" s="81" t="s">
        <v>76</v>
      </c>
      <c r="G2" s="81" t="s">
        <v>77</v>
      </c>
      <c r="H2" s="81" t="s">
        <v>78</v>
      </c>
      <c r="I2" s="81" t="s">
        <v>18</v>
      </c>
      <c r="J2" s="81" t="s">
        <v>19</v>
      </c>
      <c r="K2" s="81" t="s">
        <v>20</v>
      </c>
      <c r="L2" s="81" t="s">
        <v>21</v>
      </c>
      <c r="M2" s="81" t="s">
        <v>22</v>
      </c>
      <c r="N2" s="81" t="s">
        <v>23</v>
      </c>
      <c r="O2" s="81" t="s">
        <v>24</v>
      </c>
      <c r="P2" s="81" t="s">
        <v>25</v>
      </c>
      <c r="Q2" s="81" t="s">
        <v>26</v>
      </c>
      <c r="R2" s="81" t="s">
        <v>27</v>
      </c>
      <c r="S2" s="82" t="s">
        <v>79</v>
      </c>
    </row>
    <row r="3" customHeight="1" ht="47.0">
      <c r="A3" s="83" t="s">
        <v>29</v>
      </c>
      <c r="B3" s="84"/>
      <c r="C3" s="84"/>
      <c r="D3" s="84"/>
      <c r="E3" s="85"/>
      <c r="F3" s="55"/>
      <c r="G3" s="86"/>
      <c r="H3" s="86"/>
      <c r="I3" s="87"/>
      <c r="J3" s="88" t="s">
        <v>30</v>
      </c>
      <c r="K3" s="88" t="s">
        <v>31</v>
      </c>
      <c r="L3" s="89" t="s">
        <v>32</v>
      </c>
      <c r="M3" s="89"/>
      <c r="N3" s="87" t="s">
        <v>80</v>
      </c>
      <c r="O3" s="87">
        <v>0.0</v>
      </c>
      <c r="P3" s="87"/>
      <c r="Q3" s="87" t="s">
        <v>34</v>
      </c>
      <c r="R3" s="87" t="s">
        <v>35</v>
      </c>
      <c r="S3" s="90" t="s">
        <v>36</v>
      </c>
    </row>
    <row r="4" customHeight="1" ht="12.0">
      <c r="A4" s="91" t="s">
        <v>37</v>
      </c>
      <c r="B4" s="92">
        <v>900000.0</v>
      </c>
      <c r="C4" s="92">
        <f t="shared" ref="C4:C15" si="0">B4/3</f>
        <v>300000.0</v>
      </c>
      <c r="D4" s="16">
        <f t="shared" ref="D4:D9" si="1">$I$20*0.85*0.15</f>
        <v>4211.325</v>
      </c>
      <c r="E4" s="93">
        <v>200000.0</v>
      </c>
      <c r="F4" s="93">
        <v>200000.0</v>
      </c>
      <c r="G4" s="94">
        <v>30.0</v>
      </c>
      <c r="H4" s="95">
        <f t="shared" ref="H4:H9" si="2">G4*N$19</f>
        <v>297270.0</v>
      </c>
      <c r="I4" s="95">
        <f t="shared" ref="I4:I15" si="3">MIN(B4+C4+E4+F4,H4)</f>
        <v>297270.0</v>
      </c>
      <c r="J4" s="96">
        <f t="shared" ref="J4:J15" si="4">I4*0.14</f>
        <v>41617.8</v>
      </c>
      <c r="K4" s="96">
        <f t="shared" ref="K4:K15" si="5">I4*0.01</f>
        <v>2972.7</v>
      </c>
      <c r="L4" s="92">
        <f t="shared" ref="L4:L15" si="6">TRUNC(I4*0.03)</f>
        <v>8918.0</v>
      </c>
      <c r="M4" s="92">
        <v>500.0</v>
      </c>
      <c r="N4" s="95">
        <f t="shared" ref="N4:N15" si="7">B4+C4-J4-K4</f>
        <v>1155409.5</v>
      </c>
      <c r="O4" s="95">
        <f t="shared" ref="O4:O15" si="8">O3+N4</f>
        <v>1155409.5</v>
      </c>
      <c r="P4" s="95">
        <f t="shared" ref="P4:P15" si="9">MAX(0,MAX((O4-$F$22)*0.05,0)+MAX((O4-$F$21)*0.08,0)+MAX((O4-$F$20)*0.07,0)+MAX((O4-$F$19)*0.05,0)+O4*0.15-(MAX((O3-$F$22)*0.05,0)+MAX((O3-$F$21)*0.08,0)+MAX((O3-$F$20)*0.07,0)+MAX((O3-$F$19)*0.05,0)+O3*0.15)-D4)</f>
        <v>270249.24</v>
      </c>
      <c r="Q4" s="97">
        <f t="shared" ref="Q4:Q16" si="10">P4/N4</f>
        <v>0.233899098111968</v>
      </c>
      <c r="R4" s="95">
        <f t="shared" ref="R4:R9" si="11">MAX(0,(B4+C4)*0.00759-$I$22)</f>
        <v>8857.3023</v>
      </c>
      <c r="S4" s="98">
        <f t="shared" ref="S4:S15" si="12">B4+C4-J4-K4-L4-M4-P4-R4</f>
        <v>866884.9577</v>
      </c>
    </row>
    <row r="5" customHeight="1" ht="12.0">
      <c r="A5" s="99" t="s">
        <v>38</v>
      </c>
      <c r="B5" s="100">
        <v>900000.0</v>
      </c>
      <c r="C5" s="100">
        <f t="shared" si="0"/>
        <v>300000.0</v>
      </c>
      <c r="D5" s="24">
        <f t="shared" si="1"/>
        <v>4211.325</v>
      </c>
      <c r="E5" s="101">
        <f t="shared" ref="E5:E16" si="13">MAX(C4-MAX(I4-B4-E4-F4,0),0)</f>
        <v>300000.0</v>
      </c>
      <c r="F5" s="101">
        <f t="shared" ref="F5:F16" si="14">MAX(E4-MAX(I4-B4-F4,0),0)</f>
        <v>200000.0</v>
      </c>
      <c r="G5" s="102">
        <v>30.0</v>
      </c>
      <c r="H5" s="101">
        <f t="shared" si="2"/>
        <v>297270.0</v>
      </c>
      <c r="I5" s="101">
        <f t="shared" si="3"/>
        <v>297270.0</v>
      </c>
      <c r="J5" s="103">
        <f t="shared" si="4"/>
        <v>41617.8</v>
      </c>
      <c r="K5" s="103">
        <f t="shared" si="5"/>
        <v>2972.7</v>
      </c>
      <c r="L5" s="100">
        <f t="shared" si="6"/>
        <v>8918.0</v>
      </c>
      <c r="M5" s="100">
        <v>500.0</v>
      </c>
      <c r="N5" s="101">
        <f t="shared" si="7"/>
        <v>1155409.5</v>
      </c>
      <c r="O5" s="101">
        <f t="shared" si="8"/>
        <v>2310819.0</v>
      </c>
      <c r="P5" s="101">
        <f t="shared" si="9"/>
        <v>372614.76</v>
      </c>
      <c r="Q5" s="104">
        <f t="shared" si="10"/>
        <v>0.322495842383155</v>
      </c>
      <c r="R5" s="101">
        <f t="shared" si="11"/>
        <v>8857.3023</v>
      </c>
      <c r="S5" s="105">
        <f t="shared" si="12"/>
        <v>764519.4377</v>
      </c>
    </row>
    <row r="6" customHeight="1" ht="12.0">
      <c r="A6" s="106" t="s">
        <v>39</v>
      </c>
      <c r="B6" s="107">
        <v>900000.0</v>
      </c>
      <c r="C6" s="107">
        <f t="shared" si="0"/>
        <v>300000.0</v>
      </c>
      <c r="D6" s="17">
        <f t="shared" si="1"/>
        <v>4211.325</v>
      </c>
      <c r="E6" s="108">
        <f t="shared" si="13"/>
        <v>300000.0</v>
      </c>
      <c r="F6" s="108">
        <f t="shared" si="14"/>
        <v>300000.0</v>
      </c>
      <c r="G6" s="109">
        <v>30.0</v>
      </c>
      <c r="H6" s="101">
        <f t="shared" si="2"/>
        <v>297270.0</v>
      </c>
      <c r="I6" s="101">
        <f t="shared" si="3"/>
        <v>297270.0</v>
      </c>
      <c r="J6" s="110">
        <f t="shared" si="4"/>
        <v>41617.8</v>
      </c>
      <c r="K6" s="110">
        <f t="shared" si="5"/>
        <v>2972.7</v>
      </c>
      <c r="L6" s="107">
        <f t="shared" si="6"/>
        <v>8918.0</v>
      </c>
      <c r="M6" s="107">
        <v>500.0</v>
      </c>
      <c r="N6" s="108">
        <f t="shared" si="7"/>
        <v>1155409.5</v>
      </c>
      <c r="O6" s="108">
        <f t="shared" si="8"/>
        <v>3466228.5</v>
      </c>
      <c r="P6" s="108">
        <f t="shared" si="9"/>
        <v>400182.0</v>
      </c>
      <c r="Q6" s="111">
        <f t="shared" si="10"/>
        <v>0.346355123443247</v>
      </c>
      <c r="R6" s="108">
        <f t="shared" si="11"/>
        <v>8857.3023</v>
      </c>
      <c r="S6" s="112">
        <f t="shared" si="12"/>
        <v>736952.1977</v>
      </c>
    </row>
    <row r="7" customHeight="1" ht="12.0">
      <c r="A7" s="113" t="s">
        <v>40</v>
      </c>
      <c r="B7" s="107">
        <v>900000.0</v>
      </c>
      <c r="C7" s="107">
        <f t="shared" si="0"/>
        <v>300000.0</v>
      </c>
      <c r="D7" s="24">
        <f t="shared" si="1"/>
        <v>4211.325</v>
      </c>
      <c r="E7" s="108">
        <f t="shared" si="13"/>
        <v>300000.0</v>
      </c>
      <c r="F7" s="108">
        <f t="shared" si="14"/>
        <v>300000.0</v>
      </c>
      <c r="G7" s="109">
        <v>30.0</v>
      </c>
      <c r="H7" s="101">
        <f t="shared" si="2"/>
        <v>297270.0</v>
      </c>
      <c r="I7" s="101">
        <f t="shared" si="3"/>
        <v>297270.0</v>
      </c>
      <c r="J7" s="110">
        <f t="shared" si="4"/>
        <v>41617.8</v>
      </c>
      <c r="K7" s="110">
        <f t="shared" si="5"/>
        <v>2972.7</v>
      </c>
      <c r="L7" s="107">
        <f t="shared" si="6"/>
        <v>8918.0</v>
      </c>
      <c r="M7" s="107">
        <v>500.0</v>
      </c>
      <c r="N7" s="108">
        <f t="shared" si="7"/>
        <v>1155409.5</v>
      </c>
      <c r="O7" s="108">
        <f t="shared" si="8"/>
        <v>4621638.0</v>
      </c>
      <c r="P7" s="108">
        <f t="shared" si="9"/>
        <v>400182.0</v>
      </c>
      <c r="Q7" s="111">
        <f t="shared" si="10"/>
        <v>0.346355123443247</v>
      </c>
      <c r="R7" s="108">
        <f t="shared" si="11"/>
        <v>8857.3023</v>
      </c>
      <c r="S7" s="112">
        <f t="shared" si="12"/>
        <v>736952.1977</v>
      </c>
    </row>
    <row r="8" customHeight="1" ht="12.0">
      <c r="A8" s="106" t="s">
        <v>41</v>
      </c>
      <c r="B8" s="107">
        <v>900000.0</v>
      </c>
      <c r="C8" s="107">
        <f t="shared" si="0"/>
        <v>300000.0</v>
      </c>
      <c r="D8" s="24">
        <f t="shared" si="1"/>
        <v>4211.325</v>
      </c>
      <c r="E8" s="108">
        <f t="shared" si="13"/>
        <v>300000.0</v>
      </c>
      <c r="F8" s="108">
        <f t="shared" si="14"/>
        <v>300000.0</v>
      </c>
      <c r="G8" s="109">
        <v>30.0</v>
      </c>
      <c r="H8" s="101">
        <f t="shared" si="2"/>
        <v>297270.0</v>
      </c>
      <c r="I8" s="101">
        <f t="shared" si="3"/>
        <v>297270.0</v>
      </c>
      <c r="J8" s="110">
        <f t="shared" si="4"/>
        <v>41617.8</v>
      </c>
      <c r="K8" s="110">
        <f t="shared" si="5"/>
        <v>2972.7</v>
      </c>
      <c r="L8" s="107">
        <f t="shared" si="6"/>
        <v>8918.0</v>
      </c>
      <c r="M8" s="107">
        <v>500.0</v>
      </c>
      <c r="N8" s="108">
        <f t="shared" si="7"/>
        <v>1155409.5</v>
      </c>
      <c r="O8" s="108">
        <f t="shared" si="8"/>
        <v>5777047.5</v>
      </c>
      <c r="P8" s="108">
        <f t="shared" si="9"/>
        <v>424034.375</v>
      </c>
      <c r="Q8" s="111">
        <f t="shared" si="10"/>
        <v>0.36699921110221</v>
      </c>
      <c r="R8" s="108">
        <f t="shared" si="11"/>
        <v>8857.3023</v>
      </c>
      <c r="S8" s="112">
        <f t="shared" si="12"/>
        <v>713099.8227</v>
      </c>
    </row>
    <row r="9" customHeight="1" ht="12.0">
      <c r="A9" s="114" t="s">
        <v>42</v>
      </c>
      <c r="B9" s="115">
        <v>900000.0</v>
      </c>
      <c r="C9" s="115">
        <f t="shared" si="0"/>
        <v>300000.0</v>
      </c>
      <c r="D9" s="31">
        <f t="shared" si="1"/>
        <v>4211.325</v>
      </c>
      <c r="E9" s="116">
        <f t="shared" si="13"/>
        <v>300000.0</v>
      </c>
      <c r="F9" s="116">
        <f t="shared" si="14"/>
        <v>300000.0</v>
      </c>
      <c r="G9" s="117">
        <v>30.0</v>
      </c>
      <c r="H9" s="118">
        <f t="shared" si="2"/>
        <v>297270.0</v>
      </c>
      <c r="I9" s="118">
        <f t="shared" si="3"/>
        <v>297270.0</v>
      </c>
      <c r="J9" s="119">
        <f t="shared" si="4"/>
        <v>41617.8</v>
      </c>
      <c r="K9" s="119">
        <f t="shared" si="5"/>
        <v>2972.7</v>
      </c>
      <c r="L9" s="115">
        <f t="shared" si="6"/>
        <v>8918.0</v>
      </c>
      <c r="M9" s="115">
        <v>500.0</v>
      </c>
      <c r="N9" s="116">
        <f t="shared" si="7"/>
        <v>1155409.5</v>
      </c>
      <c r="O9" s="116">
        <f t="shared" si="8"/>
        <v>6932457.0</v>
      </c>
      <c r="P9" s="116">
        <f t="shared" si="9"/>
        <v>457952.475</v>
      </c>
      <c r="Q9" s="120">
        <f t="shared" si="10"/>
        <v>0.396355123443247</v>
      </c>
      <c r="R9" s="116">
        <f t="shared" si="11"/>
        <v>8857.3023</v>
      </c>
      <c r="S9" s="121">
        <f t="shared" si="12"/>
        <v>679181.7227</v>
      </c>
    </row>
    <row r="10" customHeight="1" ht="12.0">
      <c r="A10" s="122" t="s">
        <v>43</v>
      </c>
      <c r="B10" s="123">
        <v>900000.0</v>
      </c>
      <c r="C10" s="123">
        <f t="shared" si="0"/>
        <v>300000.0</v>
      </c>
      <c r="D10" s="37">
        <f>($F$19-($I$20*6+$J$20*0)*0.85)*0.15+(($I$20*6+$J$20*1)*0.85-$F$19)*0.2</f>
        <v>4537.75</v>
      </c>
      <c r="E10" s="124">
        <f t="shared" si="13"/>
        <v>300000.0</v>
      </c>
      <c r="F10" s="124">
        <f t="shared" si="14"/>
        <v>300000.0</v>
      </c>
      <c r="G10" s="125">
        <v>30.0</v>
      </c>
      <c r="H10" s="124">
        <f t="shared" ref="H10:H15" si="16">G10*N$20</f>
        <v>297270.0</v>
      </c>
      <c r="I10" s="124">
        <f t="shared" si="3"/>
        <v>297270.0</v>
      </c>
      <c r="J10" s="126">
        <f t="shared" si="4"/>
        <v>41617.8</v>
      </c>
      <c r="K10" s="126">
        <f t="shared" si="5"/>
        <v>2972.7</v>
      </c>
      <c r="L10" s="123">
        <f t="shared" si="6"/>
        <v>8918.0</v>
      </c>
      <c r="M10" s="123">
        <v>500.0</v>
      </c>
      <c r="N10" s="124">
        <f t="shared" si="7"/>
        <v>1155409.5</v>
      </c>
      <c r="O10" s="124">
        <f t="shared" si="8"/>
        <v>8087866.5</v>
      </c>
      <c r="P10" s="124">
        <f t="shared" si="9"/>
        <v>457626.05</v>
      </c>
      <c r="Q10" s="127">
        <f t="shared" si="10"/>
        <v>0.396072604561413</v>
      </c>
      <c r="R10" s="124">
        <f t="shared" ref="R10:R15" si="17">MAX(0,(B10+C10)*0.00759-$J$22)</f>
        <v>8857.3023</v>
      </c>
      <c r="S10" s="128">
        <f t="shared" si="12"/>
        <v>679508.1477</v>
      </c>
    </row>
    <row r="11" customHeight="1" ht="12.0">
      <c r="A11" s="113" t="s">
        <v>44</v>
      </c>
      <c r="B11" s="107">
        <v>900000.0</v>
      </c>
      <c r="C11" s="107">
        <f t="shared" si="0"/>
        <v>300000.0</v>
      </c>
      <c r="D11" s="24">
        <f t="shared" ref="D11:D15" si="18">$J$20*0.85*0.2</f>
        <v>5615.1</v>
      </c>
      <c r="E11" s="108">
        <f t="shared" si="13"/>
        <v>300000.0</v>
      </c>
      <c r="F11" s="108">
        <f t="shared" si="14"/>
        <v>300000.0</v>
      </c>
      <c r="G11" s="109">
        <v>30.0</v>
      </c>
      <c r="H11" s="101">
        <f t="shared" si="16"/>
        <v>297270.0</v>
      </c>
      <c r="I11" s="101">
        <f t="shared" si="3"/>
        <v>297270.0</v>
      </c>
      <c r="J11" s="110">
        <f t="shared" si="4"/>
        <v>41617.8</v>
      </c>
      <c r="K11" s="110">
        <f t="shared" si="5"/>
        <v>2972.7</v>
      </c>
      <c r="L11" s="107">
        <f t="shared" si="6"/>
        <v>8918.0</v>
      </c>
      <c r="M11" s="107">
        <v>500.0</v>
      </c>
      <c r="N11" s="108">
        <f t="shared" si="7"/>
        <v>1155409.5</v>
      </c>
      <c r="O11" s="108">
        <f t="shared" si="8"/>
        <v>9243276.0</v>
      </c>
      <c r="P11" s="108">
        <f t="shared" si="9"/>
        <v>456548.7</v>
      </c>
      <c r="Q11" s="111">
        <f t="shared" si="10"/>
        <v>0.395140164590996</v>
      </c>
      <c r="R11" s="108">
        <f t="shared" si="17"/>
        <v>8857.3023</v>
      </c>
      <c r="S11" s="112">
        <f t="shared" si="12"/>
        <v>680585.4977</v>
      </c>
    </row>
    <row r="12" customHeight="1" ht="12.0">
      <c r="A12" s="113" t="s">
        <v>45</v>
      </c>
      <c r="B12" s="107">
        <v>900000.0</v>
      </c>
      <c r="C12" s="107">
        <f t="shared" si="0"/>
        <v>300000.0</v>
      </c>
      <c r="D12" s="24">
        <f t="shared" si="18"/>
        <v>5615.1</v>
      </c>
      <c r="E12" s="108">
        <f t="shared" si="13"/>
        <v>300000.0</v>
      </c>
      <c r="F12" s="108">
        <f t="shared" si="14"/>
        <v>300000.0</v>
      </c>
      <c r="G12" s="109">
        <v>30.0</v>
      </c>
      <c r="H12" s="101">
        <f t="shared" si="16"/>
        <v>297270.0</v>
      </c>
      <c r="I12" s="101">
        <f t="shared" si="3"/>
        <v>297270.0</v>
      </c>
      <c r="J12" s="110">
        <f t="shared" si="4"/>
        <v>41617.8</v>
      </c>
      <c r="K12" s="110">
        <f t="shared" si="5"/>
        <v>2972.7</v>
      </c>
      <c r="L12" s="107">
        <f t="shared" si="6"/>
        <v>8918.0</v>
      </c>
      <c r="M12" s="107">
        <v>500.0</v>
      </c>
      <c r="N12" s="108">
        <f t="shared" si="7"/>
        <v>1155409.5</v>
      </c>
      <c r="O12" s="108">
        <f t="shared" si="8"/>
        <v>1.03986855E7</v>
      </c>
      <c r="P12" s="108">
        <f t="shared" si="9"/>
        <v>456548.7</v>
      </c>
      <c r="Q12" s="111">
        <f t="shared" si="10"/>
        <v>0.395140164590996</v>
      </c>
      <c r="R12" s="108">
        <f t="shared" si="17"/>
        <v>8857.3023</v>
      </c>
      <c r="S12" s="112">
        <f t="shared" si="12"/>
        <v>680585.4977</v>
      </c>
    </row>
    <row r="13" customHeight="1" ht="12.0">
      <c r="A13" s="113" t="s">
        <v>46</v>
      </c>
      <c r="B13" s="107">
        <v>900000.0</v>
      </c>
      <c r="C13" s="107">
        <f t="shared" si="0"/>
        <v>300000.0</v>
      </c>
      <c r="D13" s="24">
        <f t="shared" si="18"/>
        <v>5615.1</v>
      </c>
      <c r="E13" s="108">
        <f t="shared" si="13"/>
        <v>300000.0</v>
      </c>
      <c r="F13" s="108">
        <f t="shared" si="14"/>
        <v>300000.0</v>
      </c>
      <c r="G13" s="109">
        <v>30.0</v>
      </c>
      <c r="H13" s="101">
        <f t="shared" si="16"/>
        <v>297270.0</v>
      </c>
      <c r="I13" s="101">
        <f t="shared" si="3"/>
        <v>297270.0</v>
      </c>
      <c r="J13" s="110">
        <f t="shared" si="4"/>
        <v>41617.8</v>
      </c>
      <c r="K13" s="110">
        <f t="shared" si="5"/>
        <v>2972.7</v>
      </c>
      <c r="L13" s="107">
        <f t="shared" si="6"/>
        <v>8918.0</v>
      </c>
      <c r="M13" s="107">
        <v>500.0</v>
      </c>
      <c r="N13" s="108">
        <f t="shared" si="7"/>
        <v>1155409.5</v>
      </c>
      <c r="O13" s="108">
        <f t="shared" si="8"/>
        <v>1.1554095E7</v>
      </c>
      <c r="P13" s="108">
        <f t="shared" si="9"/>
        <v>456548.7</v>
      </c>
      <c r="Q13" s="111">
        <f t="shared" si="10"/>
        <v>0.395140164590996</v>
      </c>
      <c r="R13" s="108">
        <f t="shared" si="17"/>
        <v>8857.3023</v>
      </c>
      <c r="S13" s="112">
        <f t="shared" si="12"/>
        <v>680585.4977</v>
      </c>
    </row>
    <row r="14" customHeight="1" ht="12.0">
      <c r="A14" s="113" t="s">
        <v>47</v>
      </c>
      <c r="B14" s="107">
        <v>900000.0</v>
      </c>
      <c r="C14" s="107">
        <f t="shared" si="0"/>
        <v>300000.0</v>
      </c>
      <c r="D14" s="24">
        <f t="shared" si="18"/>
        <v>5615.1</v>
      </c>
      <c r="E14" s="108">
        <f t="shared" si="13"/>
        <v>300000.0</v>
      </c>
      <c r="F14" s="108">
        <f t="shared" si="14"/>
        <v>300000.0</v>
      </c>
      <c r="G14" s="109">
        <v>30.0</v>
      </c>
      <c r="H14" s="101">
        <f t="shared" si="16"/>
        <v>297270.0</v>
      </c>
      <c r="I14" s="101">
        <f t="shared" si="3"/>
        <v>297270.0</v>
      </c>
      <c r="J14" s="110">
        <f t="shared" si="4"/>
        <v>41617.8</v>
      </c>
      <c r="K14" s="110">
        <f t="shared" si="5"/>
        <v>2972.7</v>
      </c>
      <c r="L14" s="107">
        <f t="shared" si="6"/>
        <v>8918.0</v>
      </c>
      <c r="M14" s="107">
        <v>500.0</v>
      </c>
      <c r="N14" s="108">
        <f t="shared" si="7"/>
        <v>1155409.5</v>
      </c>
      <c r="O14" s="108">
        <f t="shared" si="8"/>
        <v>1.27095045E7</v>
      </c>
      <c r="P14" s="108">
        <f t="shared" si="9"/>
        <v>456548.7</v>
      </c>
      <c r="Q14" s="111">
        <f t="shared" si="10"/>
        <v>0.395140164590996</v>
      </c>
      <c r="R14" s="108">
        <f t="shared" si="17"/>
        <v>8857.3023</v>
      </c>
      <c r="S14" s="112">
        <f t="shared" si="12"/>
        <v>680585.4977</v>
      </c>
    </row>
    <row r="15" customHeight="1" ht="12.0">
      <c r="A15" s="114" t="s">
        <v>48</v>
      </c>
      <c r="B15" s="115">
        <v>900000.0</v>
      </c>
      <c r="C15" s="115">
        <f t="shared" si="0"/>
        <v>300000.0</v>
      </c>
      <c r="D15" s="129">
        <f t="shared" si="18"/>
        <v>5615.1</v>
      </c>
      <c r="E15" s="116">
        <f t="shared" si="13"/>
        <v>300000.0</v>
      </c>
      <c r="F15" s="116">
        <f t="shared" si="14"/>
        <v>300000.0</v>
      </c>
      <c r="G15" s="117">
        <v>30.0</v>
      </c>
      <c r="H15" s="116">
        <f t="shared" si="16"/>
        <v>297270.0</v>
      </c>
      <c r="I15" s="118">
        <f t="shared" si="3"/>
        <v>297270.0</v>
      </c>
      <c r="J15" s="119">
        <f t="shared" si="4"/>
        <v>41617.8</v>
      </c>
      <c r="K15" s="119">
        <f t="shared" si="5"/>
        <v>2972.7</v>
      </c>
      <c r="L15" s="115">
        <f t="shared" si="6"/>
        <v>8918.0</v>
      </c>
      <c r="M15" s="115">
        <v>500.0</v>
      </c>
      <c r="N15" s="116">
        <f t="shared" si="7"/>
        <v>1155409.5</v>
      </c>
      <c r="O15" s="116">
        <f t="shared" si="8"/>
        <v>1.3864914E7</v>
      </c>
      <c r="P15" s="116">
        <f t="shared" si="9"/>
        <v>456548.7</v>
      </c>
      <c r="Q15" s="120">
        <f t="shared" si="10"/>
        <v>0.395140164590996</v>
      </c>
      <c r="R15" s="116">
        <f t="shared" si="17"/>
        <v>8857.3023</v>
      </c>
      <c r="S15" s="121">
        <f t="shared" si="12"/>
        <v>680585.4977</v>
      </c>
    </row>
    <row r="16" customHeight="1" ht="12.0">
      <c r="A16" s="130" t="s">
        <v>49</v>
      </c>
      <c r="B16" s="131">
        <f>SUM(B4:B15)</f>
        <v>1.08E7</v>
      </c>
      <c r="C16" s="131">
        <f>SUM(C4:C15)</f>
        <v>3600000.0</v>
      </c>
      <c r="D16" s="131">
        <f>SUM(D4:D15)</f>
        <v>57881.2</v>
      </c>
      <c r="E16" s="131">
        <f t="shared" si="13"/>
        <v>300000.0</v>
      </c>
      <c r="F16" s="131">
        <f t="shared" si="14"/>
        <v>300000.0</v>
      </c>
      <c r="G16" s="132">
        <f>SUM(G4:G15)</f>
        <v>360.0</v>
      </c>
      <c r="H16" s="131"/>
      <c r="I16" s="131">
        <f>SUM(I4:I15)</f>
        <v>3567240.0</v>
      </c>
      <c r="J16" s="131">
        <f>SUM(J4:J15)</f>
        <v>499413.6</v>
      </c>
      <c r="K16" s="131">
        <f>SUM(K4:K15)</f>
        <v>35672.4</v>
      </c>
      <c r="L16" s="131">
        <f>SUM(L4:L15)</f>
        <v>107016.0</v>
      </c>
      <c r="M16" s="131">
        <f>SUM(M4:M15)</f>
        <v>6000.0</v>
      </c>
      <c r="N16" s="131">
        <f>SUM(N4:N15)</f>
        <v>1.3864914E7</v>
      </c>
      <c r="O16" s="131"/>
      <c r="P16" s="131">
        <f>SUM(P4:P15)</f>
        <v>5065584.4</v>
      </c>
      <c r="Q16" s="133">
        <f t="shared" si="10"/>
        <v>0.365352745786956</v>
      </c>
      <c r="R16" s="131">
        <f>SUM(R4:R15)</f>
        <v>106287.6276</v>
      </c>
      <c r="S16" s="134">
        <f>SUM(S4:S15)</f>
        <v>8580025.9724</v>
      </c>
    </row>
    <row r="17" customHeight="1" ht="12.0">
      <c r="A17" s="135"/>
      <c r="B17" s="136"/>
      <c r="C17" s="136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53" t="s">
        <v>50</v>
      </c>
      <c r="S17" s="137">
        <f>S16/12</f>
        <v>715002.164366667</v>
      </c>
    </row>
    <row r="18" customHeight="1" ht="24.0">
      <c r="A18" s="55"/>
      <c r="B18" s="138" t="s">
        <v>51</v>
      </c>
      <c r="C18" s="139" t="s">
        <v>52</v>
      </c>
      <c r="D18" s="1"/>
      <c r="E18" s="56" t="s">
        <v>53</v>
      </c>
      <c r="F18" s="55"/>
      <c r="G18" s="1"/>
      <c r="H18" s="57" t="s">
        <v>54</v>
      </c>
      <c r="I18" s="1"/>
      <c r="L18" s="1"/>
      <c r="M18" s="56" t="s">
        <v>81</v>
      </c>
      <c r="N18" s="55"/>
      <c r="Q18" s="1"/>
      <c r="R18" s="1"/>
      <c r="S18" s="1"/>
    </row>
    <row r="19" customHeight="1" ht="12.0">
      <c r="A19" s="58" t="s">
        <v>56</v>
      </c>
      <c r="B19" s="101">
        <f>B16+C16</f>
        <v>1.44E7</v>
      </c>
      <c r="C19" s="105">
        <f t="shared" ref="C19:C20" si="34">B19/12</f>
        <v>1200000.0</v>
      </c>
      <c r="D19" s="135"/>
      <c r="E19" s="140" t="s">
        <v>57</v>
      </c>
      <c r="F19" s="105">
        <v>190000.0</v>
      </c>
      <c r="G19" s="135"/>
      <c r="I19" s="60" t="s">
        <v>58</v>
      </c>
      <c r="J19" s="61" t="s">
        <v>59</v>
      </c>
      <c r="L19" s="135"/>
      <c r="M19" s="140" t="s">
        <v>58</v>
      </c>
      <c r="N19" s="105">
        <v>9909.0</v>
      </c>
      <c r="Q19" s="135"/>
      <c r="R19" s="135"/>
      <c r="S19" s="135"/>
    </row>
    <row r="20" customHeight="1" ht="12.0">
      <c r="A20" s="141" t="s">
        <v>60</v>
      </c>
      <c r="B20" s="108">
        <f>S16</f>
        <v>8580025.9724</v>
      </c>
      <c r="C20" s="112">
        <f t="shared" si="34"/>
        <v>715002.164366667</v>
      </c>
      <c r="D20" s="135"/>
      <c r="E20" s="142" t="s">
        <v>61</v>
      </c>
      <c r="F20" s="121">
        <v>400000.0</v>
      </c>
      <c r="G20" s="135"/>
      <c r="H20" s="62" t="s">
        <v>56</v>
      </c>
      <c r="I20" s="37">
        <v>33030.0</v>
      </c>
      <c r="J20" s="143">
        <v>33030.0</v>
      </c>
      <c r="L20" s="135"/>
      <c r="M20" s="72" t="s">
        <v>59</v>
      </c>
      <c r="N20" s="144">
        <v>9909.0</v>
      </c>
      <c r="Q20" s="135"/>
      <c r="R20" s="135"/>
      <c r="S20" s="135"/>
    </row>
    <row r="21" customHeight="1" ht="12.0">
      <c r="A21" s="67" t="s">
        <v>62</v>
      </c>
      <c r="B21" s="145">
        <f>B20/B19</f>
        <v>0.595835136972222</v>
      </c>
      <c r="C21" s="146">
        <f>C20/C19</f>
        <v>0.595835136972222</v>
      </c>
      <c r="D21" s="135"/>
      <c r="E21" s="147" t="s">
        <v>63</v>
      </c>
      <c r="F21" s="148">
        <v>1500000.0</v>
      </c>
      <c r="G21" s="135"/>
      <c r="H21" s="69" t="s">
        <v>60</v>
      </c>
      <c r="I21" s="24">
        <v>28075.5</v>
      </c>
      <c r="J21" s="149">
        <v>28075.5</v>
      </c>
      <c r="K21" s="150"/>
      <c r="L21" s="135"/>
      <c r="M21" s="135"/>
      <c r="N21" s="135"/>
      <c r="O21" s="135"/>
      <c r="P21" s="135"/>
      <c r="Q21" s="135"/>
      <c r="R21" s="135"/>
      <c r="S21" s="135"/>
    </row>
    <row r="22" customHeight="1" ht="12.0">
      <c r="A22" s="135"/>
      <c r="B22" s="135"/>
      <c r="C22" s="135"/>
      <c r="D22" s="135"/>
      <c r="E22" s="151" t="s">
        <v>64</v>
      </c>
      <c r="F22" s="152">
        <v>5300000.0</v>
      </c>
      <c r="G22" s="135"/>
      <c r="H22" s="66" t="s">
        <v>65</v>
      </c>
      <c r="I22" s="44">
        <f>I20*0.759/100</f>
        <v>250.6977</v>
      </c>
      <c r="J22" s="153">
        <f>J20*0.759/100</f>
        <v>250.6977</v>
      </c>
      <c r="K22" s="135"/>
      <c r="L22" s="135"/>
      <c r="M22" s="135"/>
      <c r="N22" s="135"/>
      <c r="O22" s="135"/>
      <c r="P22" s="135"/>
      <c r="Q22" s="135"/>
      <c r="R22" s="135"/>
      <c r="S22" s="135"/>
    </row>
    <row r="23" customHeight="1" ht="12.0">
      <c r="A23" s="135"/>
      <c r="B23" s="135"/>
      <c r="C23" s="135"/>
      <c r="D23" s="135"/>
      <c r="E23" s="72" t="s">
        <v>66</v>
      </c>
      <c r="F23" s="73" t="s">
        <v>67</v>
      </c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</row>
    <row r="24" customHeight="1" ht="12.0">
      <c r="A24" s="135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</row>
    <row r="25" customHeight="1" ht="12.0">
      <c r="A25" s="135"/>
      <c r="B25" s="75" t="s">
        <v>82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154" t="s">
        <v>69</v>
      </c>
      <c r="P25" s="74"/>
      <c r="Q25" s="74"/>
      <c r="R25" s="74"/>
      <c r="S25" s="74"/>
    </row>
    <row r="26" customHeight="1" ht="12.0">
      <c r="A26" s="1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"/>
    </row>
  </sheetData>
  <hyperlinks>
    <hyperlink ref="O25" r:id="rId1"/>
  </hyperlin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2026-08-05T22:40:00Z</dcterms:created>
</cp:coreProperties>
</file>